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C:\Users\GavinWu\Downloads\2026 CMRT Updates\"/>
    </mc:Choice>
  </mc:AlternateContent>
  <xr:revisionPtr revIDLastSave="0" documentId="13_ncr:1_{1F43054B-CFAB-43DB-BBDC-DC5B4C3AFE63}"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4240" windowHeight="13020" tabRatio="789"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C14" i="6"/>
  <c r="J15" i="6"/>
  <c r="J16" i="6"/>
  <c r="J17" i="6"/>
  <c r="C17" i="6"/>
  <c r="J25" i="6"/>
  <c r="C25" i="6"/>
  <c r="I26" i="6"/>
  <c r="J37" i="6"/>
  <c r="C37" i="6"/>
  <c r="J45" i="6"/>
  <c r="C45" i="6"/>
  <c r="I46" i="6"/>
  <c r="I54" i="6"/>
  <c r="J63" i="6"/>
  <c r="C63" i="6"/>
  <c r="J64" i="6"/>
  <c r="J66" i="6"/>
  <c r="I67" i="6"/>
  <c r="A1" i="8"/>
  <c r="I19" i="6"/>
  <c r="J26" i="6"/>
  <c r="C26" i="6"/>
  <c r="I27" i="6"/>
  <c r="I39" i="6"/>
  <c r="J46" i="6"/>
  <c r="C46" i="6"/>
  <c r="I47" i="6"/>
  <c r="J54" i="6"/>
  <c r="C54" i="6"/>
  <c r="I55" i="6"/>
  <c r="I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C19" i="6"/>
  <c r="I20" i="6"/>
  <c r="J27" i="6"/>
  <c r="C27" i="6"/>
  <c r="I29" i="6"/>
  <c r="I30" i="6"/>
  <c r="I31" i="6"/>
  <c r="I32" i="6"/>
  <c r="J39" i="6"/>
  <c r="C39" i="6"/>
  <c r="I40" i="6"/>
  <c r="J47" i="6"/>
  <c r="C47" i="6"/>
  <c r="J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C20" i="6"/>
  <c r="I21" i="6"/>
  <c r="J29" i="6"/>
  <c r="C29" i="6"/>
  <c r="J30" i="6"/>
  <c r="C30" i="6"/>
  <c r="J31" i="6"/>
  <c r="C31" i="6"/>
  <c r="J32" i="6"/>
  <c r="C32" i="6"/>
  <c r="J40" i="6"/>
  <c r="C40" i="6"/>
  <c r="I41" i="6"/>
  <c r="I49" i="6"/>
  <c r="J57" i="6"/>
  <c r="C57" i="6"/>
  <c r="I58" i="6"/>
  <c r="L67" i="6"/>
  <c r="A1" i="7"/>
  <c r="D4" i="8"/>
  <c r="C3" i="6"/>
  <c r="I4" i="6"/>
  <c r="I5" i="6"/>
  <c r="J21" i="6"/>
  <c r="C21" i="6"/>
  <c r="I22" i="6"/>
  <c r="I34" i="6"/>
  <c r="J41" i="6"/>
  <c r="C41" i="6"/>
  <c r="I42" i="6"/>
  <c r="J49" i="6"/>
  <c r="C49" i="6"/>
  <c r="I50" i="6"/>
  <c r="J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C22" i="6"/>
  <c r="J34" i="6"/>
  <c r="C34" i="6"/>
  <c r="I35" i="6"/>
  <c r="J42" i="6"/>
  <c r="C42" i="6"/>
  <c r="J50" i="6"/>
  <c r="C50" i="6"/>
  <c r="I51" i="6"/>
  <c r="J59" i="6"/>
  <c r="C59" i="6"/>
  <c r="I60" i="6"/>
  <c r="C5" i="7"/>
  <c r="D1" i="6"/>
  <c r="J6" i="6"/>
  <c r="J7" i="6"/>
  <c r="C7" i="6"/>
  <c r="J8" i="6"/>
  <c r="C8" i="6"/>
  <c r="J9" i="6"/>
  <c r="C9" i="6"/>
  <c r="J10" i="6"/>
  <c r="C10" i="6"/>
  <c r="J11" i="6"/>
  <c r="C11" i="6"/>
  <c r="J12" i="6"/>
  <c r="C12" i="6"/>
  <c r="I24" i="6"/>
  <c r="J35" i="6"/>
  <c r="C35" i="6"/>
  <c r="I36" i="6"/>
  <c r="I44" i="6"/>
  <c r="J51" i="6"/>
  <c r="C51" i="6"/>
  <c r="I52" i="6"/>
  <c r="J60" i="6"/>
  <c r="C60" i="6"/>
  <c r="I62" i="6"/>
  <c r="I65" i="6"/>
  <c r="F5" i="7"/>
  <c r="B10" i="4"/>
  <c r="A6" i="6"/>
  <c r="B18" i="4"/>
  <c r="A10" i="6"/>
  <c r="G25" i="4"/>
  <c r="B44" i="4"/>
  <c r="A29" i="6"/>
  <c r="B49" i="4"/>
  <c r="A33" i="6"/>
  <c r="B85" i="4"/>
  <c r="A60" i="6"/>
  <c r="A4" i="5"/>
  <c r="I4" i="5"/>
  <c r="I14" i="6"/>
  <c r="I15" i="6"/>
  <c r="I16" i="6"/>
  <c r="I17" i="6"/>
  <c r="J24" i="6"/>
  <c r="C24" i="6"/>
  <c r="I25" i="6"/>
  <c r="J36" i="6"/>
  <c r="C36" i="6"/>
  <c r="I37" i="6"/>
  <c r="J44" i="6"/>
  <c r="C44" i="6"/>
  <c r="I45" i="6"/>
  <c r="J52" i="6"/>
  <c r="C52" i="6"/>
  <c r="J62" i="6"/>
  <c r="C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B32" i="6"/>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B30" i="6"/>
  <c r="G30" i="6"/>
  <c r="B41" i="6"/>
  <c r="G41" i="6"/>
  <c r="B31" i="6"/>
  <c r="G31" i="6"/>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F26" i="6"/>
  <c r="B52" i="6"/>
  <c r="G52" i="6"/>
  <c r="B37" i="6"/>
  <c r="G37" i="6"/>
  <c r="B42" i="6"/>
  <c r="G42" i="6"/>
  <c r="B40" i="6"/>
  <c r="G40" i="6"/>
  <c r="B50" i="6"/>
  <c r="G50" i="6"/>
  <c r="B25" i="6"/>
  <c r="G25" i="6"/>
  <c r="B35" i="6"/>
  <c r="G35" i="6"/>
  <c r="B39" i="6"/>
  <c r="G39" i="6"/>
  <c r="F24" i="6"/>
  <c r="B44" i="6"/>
  <c r="G44" i="6"/>
  <c r="G32" i="6"/>
  <c r="B49" i="6"/>
  <c r="G49" i="6"/>
  <c r="B34" i="6"/>
  <c r="G34" i="6"/>
  <c r="B29" i="6"/>
  <c r="G29" i="6"/>
  <c r="B24" i="6"/>
  <c r="G24" i="6"/>
  <c r="G19" i="6"/>
  <c r="H19" i="6"/>
  <c r="G22" i="6"/>
  <c r="B47" i="6"/>
  <c r="G47" i="6"/>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c r="B26" i="6"/>
  <c r="G26" i="6"/>
  <c r="G21" i="6"/>
  <c r="H21" i="6"/>
  <c r="B36" i="6"/>
  <c r="G36" i="6"/>
  <c r="G20" i="6"/>
  <c r="H20" i="6"/>
  <c r="B45" i="6"/>
  <c r="G45" i="6"/>
  <c r="D17" i="6"/>
  <c r="B27" i="6"/>
  <c r="G2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F31" i="6"/>
  <c r="F46" i="6"/>
  <c r="F41" i="6"/>
  <c r="H41" i="6"/>
  <c r="D41" i="6"/>
  <c r="F36" i="6"/>
  <c r="H36" i="6"/>
  <c r="D36" i="6"/>
  <c r="F51" i="6"/>
  <c r="H51" i="6"/>
  <c r="D51" i="6"/>
  <c r="F45" i="6"/>
  <c r="H45" i="6"/>
  <c r="D45" i="6"/>
  <c r="F66" i="6"/>
  <c r="F50" i="6"/>
  <c r="H50" i="6"/>
  <c r="D50" i="6"/>
  <c r="F30" i="6"/>
  <c r="H25" i="6"/>
  <c r="F35" i="6"/>
  <c r="F4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F42" i="6"/>
  <c r="H42" i="6"/>
  <c r="D42" i="6"/>
  <c r="H27" i="6"/>
  <c r="F68" i="6"/>
  <c r="F32" i="6"/>
  <c r="F52" i="6"/>
  <c r="H52" i="6"/>
  <c r="D52" i="6"/>
  <c r="F47" i="6"/>
  <c r="F37" i="6"/>
  <c r="H37"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H22"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F44" i="6"/>
  <c r="H44" i="6"/>
  <c r="D44" i="6"/>
  <c r="F34" i="6"/>
  <c r="F39" i="6"/>
  <c r="F54" i="6"/>
  <c r="F65" i="6"/>
  <c r="F49" i="6"/>
  <c r="F29" i="6"/>
  <c r="H29" i="6"/>
  <c r="H39" i="6"/>
  <c r="D39" i="6"/>
  <c r="H26" i="6"/>
  <c r="H24" i="6"/>
  <c r="H35" i="6"/>
  <c r="D35" i="6"/>
  <c r="H40" i="6"/>
  <c r="D40" i="6"/>
  <c r="H46" i="6"/>
  <c r="D46" i="6"/>
  <c r="H31" i="6"/>
  <c r="D29" i="6"/>
  <c r="H30" i="6"/>
  <c r="H49" i="6"/>
  <c r="D49" i="6"/>
  <c r="H34" i="6"/>
  <c r="H32" i="6"/>
  <c r="D19" i="6"/>
  <c r="K65" i="6"/>
  <c r="D24" i="6"/>
  <c r="D27" i="6"/>
  <c r="D20" i="6"/>
  <c r="C2" i="6"/>
  <c r="B2" i="6"/>
  <c r="F57" i="6"/>
  <c r="H57" i="6"/>
  <c r="H54" i="6"/>
  <c r="F62" i="6"/>
  <c r="H62" i="6"/>
  <c r="F58" i="6"/>
  <c r="H58" i="6"/>
  <c r="F60" i="6"/>
  <c r="H60" i="6"/>
  <c r="F63" i="6"/>
  <c r="H63" i="6"/>
  <c r="F59" i="6"/>
  <c r="H59" i="6"/>
  <c r="F55" i="6"/>
  <c r="D25" i="6"/>
  <c r="D26" i="6"/>
  <c r="D21" i="6"/>
  <c r="D22" i="6"/>
  <c r="H47" i="6"/>
  <c r="D47" i="6"/>
  <c r="D34" i="6"/>
  <c r="D31" i="6"/>
  <c r="D30" i="6"/>
  <c r="D32" i="6"/>
  <c r="D60" i="6"/>
  <c r="D58" i="6"/>
  <c r="D63" i="6"/>
  <c r="D62" i="6"/>
  <c r="D54" i="6"/>
  <c r="D57" i="6"/>
  <c r="F56" i="6"/>
  <c r="H56" i="6"/>
  <c r="H55"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<sst xmlns="http://schemas.openxmlformats.org/spreadsheetml/2006/main" count="22507" uniqueCount="15879">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</sst>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abSelected="1"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64" customWidth="1"/>
    <col min="5" max="5" width="42.3828125" customWidth="1"/>
    <col min="6" max="6" width="53.3828125" customWidth="1"/>
    <col min="7" max="7" width="0.84375" customWidth="1"/>
  </cols>
  <sheetData>
    <row r="1" spans="1:7" ht="14" thickTop="1">
      <c r="A1" s="6"/>
      <c r="B1" s="7"/>
      <c r="C1" s="7"/>
      <c r="D1" s="158"/>
      <c r="E1" s="7"/>
      <c r="F1" s="7"/>
      <c r="G1" s="8"/>
    </row>
    <row r="2" spans="1:7">
      <c r="A2" s="300"/>
      <c r="B2" s="4" t="s">
        <v>807</v>
      </c>
      <c r="C2" s="2"/>
      <c r="D2" s="159"/>
      <c r="E2" s="2"/>
      <c r="F2" s="2"/>
      <c r="G2" s="24"/>
    </row>
    <row r="3" spans="1:7">
      <c r="A3" s="300"/>
      <c r="B3" s="2" t="s">
        <v>800</v>
      </c>
      <c r="C3" s="4"/>
      <c r="D3" s="160"/>
      <c r="E3" s="2"/>
      <c r="F3" s="4"/>
      <c r="G3" s="24"/>
    </row>
    <row r="4" spans="1:7" ht="15">
      <c r="A4" s="300"/>
      <c r="B4" s="27" t="s">
        <v>809</v>
      </c>
      <c r="C4" s="5"/>
      <c r="D4" s="161"/>
      <c r="E4" s="2"/>
      <c r="F4" s="5"/>
      <c r="G4" s="24"/>
    </row>
    <row r="5" spans="1:7">
      <c r="A5" s="300"/>
      <c r="B5" s="26" t="s">
        <v>998</v>
      </c>
      <c r="C5" s="3"/>
      <c r="D5" s="162"/>
      <c r="E5" s="2"/>
      <c r="F5" s="3"/>
      <c r="G5" s="24"/>
    </row>
    <row r="6" spans="1:7">
      <c r="A6" s="300"/>
      <c r="B6" s="2"/>
      <c r="C6" s="2"/>
      <c r="D6" s="159"/>
      <c r="E6" s="2"/>
      <c r="F6" s="2"/>
      <c r="G6" s="24"/>
    </row>
    <row r="7" spans="1:7">
      <c r="A7" s="300"/>
      <c r="B7" s="2"/>
      <c r="C7" s="2"/>
      <c r="D7" s="159"/>
      <c r="E7" s="2"/>
      <c r="F7" s="2"/>
      <c r="G7" s="24"/>
    </row>
    <row r="8" spans="1:7">
      <c r="A8" s="300"/>
      <c r="B8" s="2"/>
      <c r="C8" s="2"/>
      <c r="D8" s="159"/>
      <c r="E8" s="2"/>
      <c r="F8" s="2"/>
      <c r="G8" s="24"/>
    </row>
    <row r="9" spans="1:7">
      <c r="A9" s="300"/>
      <c r="B9" s="303" t="s">
        <v>810</v>
      </c>
      <c r="C9" s="303"/>
      <c r="D9" s="303"/>
      <c r="E9" s="303"/>
      <c r="F9" s="303"/>
      <c r="G9" s="24"/>
    </row>
    <row r="10" spans="1:7" ht="27" customHeight="1">
      <c r="A10" s="300"/>
      <c r="B10" s="304" t="s">
        <v>423</v>
      </c>
      <c r="C10" s="304"/>
      <c r="D10" s="304"/>
      <c r="E10" s="304"/>
      <c r="F10" s="304"/>
      <c r="G10" s="24"/>
    </row>
    <row r="11" spans="1:7" ht="27" customHeight="1">
      <c r="A11" s="300"/>
      <c r="B11" s="305"/>
      <c r="C11" s="305"/>
      <c r="D11" s="305"/>
      <c r="E11" s="305"/>
      <c r="F11" s="305"/>
      <c r="G11" s="24"/>
    </row>
    <row r="12" spans="1:7">
      <c r="A12" s="300"/>
      <c r="B12" s="28" t="s">
        <v>808</v>
      </c>
      <c r="C12" s="29" t="s">
        <v>811</v>
      </c>
      <c r="D12" s="163" t="s">
        <v>812</v>
      </c>
      <c r="E12" s="29" t="s">
        <v>593</v>
      </c>
      <c r="F12" s="29" t="s">
        <v>594</v>
      </c>
      <c r="G12" s="24"/>
    </row>
    <row r="13" spans="1:7" ht="34.5">
      <c r="A13" s="300"/>
      <c r="B13" s="275">
        <v>1</v>
      </c>
      <c r="C13" s="276" t="s">
        <v>1046</v>
      </c>
      <c r="D13" s="277" t="s">
        <v>836</v>
      </c>
      <c r="E13" s="278" t="s">
        <v>813</v>
      </c>
      <c r="F13" s="278"/>
      <c r="G13" s="24"/>
    </row>
    <row r="14" spans="1:7" ht="46">
      <c r="A14" s="300"/>
      <c r="B14" s="275">
        <v>2</v>
      </c>
      <c r="C14" s="276" t="s">
        <v>1046</v>
      </c>
      <c r="D14" s="277" t="s">
        <v>983</v>
      </c>
      <c r="E14" s="278" t="s">
        <v>513</v>
      </c>
      <c r="F14" s="278" t="s">
        <v>514</v>
      </c>
      <c r="G14" s="24"/>
    </row>
    <row r="15" spans="1:7" ht="89.15" customHeight="1">
      <c r="A15" s="300"/>
      <c r="B15" s="306">
        <v>2.0099999999999998</v>
      </c>
      <c r="C15" s="297" t="s">
        <v>1046</v>
      </c>
      <c r="D15" s="309" t="s">
        <v>2150</v>
      </c>
      <c r="E15" s="279" t="s">
        <v>595</v>
      </c>
      <c r="F15" s="279" t="s">
        <v>598</v>
      </c>
      <c r="G15" s="24"/>
    </row>
    <row r="16" spans="1:7" ht="99" customHeight="1">
      <c r="A16" s="300"/>
      <c r="B16" s="307"/>
      <c r="C16" s="298"/>
      <c r="D16" s="310"/>
      <c r="E16" s="280"/>
      <c r="F16" s="280" t="s">
        <v>596</v>
      </c>
      <c r="G16" s="24"/>
    </row>
    <row r="17" spans="1:7" ht="63" customHeight="1">
      <c r="A17" s="300"/>
      <c r="B17" s="308"/>
      <c r="C17" s="299"/>
      <c r="D17" s="311"/>
      <c r="E17" s="276"/>
      <c r="F17" s="276" t="s">
        <v>597</v>
      </c>
      <c r="G17" s="24"/>
    </row>
    <row r="18" spans="1:7" ht="117" customHeight="1">
      <c r="A18" s="300"/>
      <c r="B18" s="306">
        <v>2.02</v>
      </c>
      <c r="C18" s="297" t="s">
        <v>1046</v>
      </c>
      <c r="D18" s="309" t="s">
        <v>2151</v>
      </c>
      <c r="E18" s="279" t="s">
        <v>424</v>
      </c>
      <c r="F18" s="279" t="s">
        <v>508</v>
      </c>
      <c r="G18" s="24"/>
    </row>
    <row r="19" spans="1:7" ht="71.150000000000006" customHeight="1">
      <c r="A19" s="300"/>
      <c r="B19" s="307"/>
      <c r="C19" s="298"/>
      <c r="D19" s="310"/>
      <c r="E19" s="280" t="s">
        <v>512</v>
      </c>
      <c r="F19" s="280" t="s">
        <v>425</v>
      </c>
      <c r="G19" s="24"/>
    </row>
    <row r="20" spans="1:7" ht="90.75" customHeight="1">
      <c r="A20" s="300"/>
      <c r="B20" s="307"/>
      <c r="C20" s="298"/>
      <c r="D20" s="310"/>
      <c r="E20" s="280"/>
      <c r="F20" s="280" t="s">
        <v>600</v>
      </c>
      <c r="G20" s="24"/>
    </row>
    <row r="21" spans="1:7" ht="74.25" customHeight="1">
      <c r="A21" s="300"/>
      <c r="B21" s="308"/>
      <c r="C21" s="299"/>
      <c r="D21" s="311"/>
      <c r="E21" s="276"/>
      <c r="F21" s="276" t="s">
        <v>599</v>
      </c>
      <c r="G21" s="24"/>
    </row>
    <row r="22" spans="1:7" ht="90" customHeight="1">
      <c r="A22" s="300"/>
      <c r="B22" s="315">
        <v>2.0299999999999998</v>
      </c>
      <c r="C22" s="315" t="s">
        <v>783</v>
      </c>
      <c r="D22" s="294" t="s">
        <v>2152</v>
      </c>
      <c r="E22" s="297" t="s">
        <v>422</v>
      </c>
      <c r="F22" s="279" t="s">
        <v>445</v>
      </c>
      <c r="G22" s="24"/>
    </row>
    <row r="23" spans="1:7" ht="109.5" customHeight="1">
      <c r="A23" s="300"/>
      <c r="B23" s="316"/>
      <c r="C23" s="316"/>
      <c r="D23" s="295"/>
      <c r="E23" s="298"/>
      <c r="F23" s="280" t="s">
        <v>784</v>
      </c>
      <c r="G23" s="24"/>
    </row>
    <row r="24" spans="1:7" ht="74.25" customHeight="1">
      <c r="A24" s="300"/>
      <c r="B24" s="317"/>
      <c r="C24" s="317"/>
      <c r="D24" s="296"/>
      <c r="E24" s="299"/>
      <c r="F24" s="276" t="s">
        <v>421</v>
      </c>
      <c r="G24" s="24"/>
    </row>
    <row r="25" spans="1:7" ht="72" customHeight="1">
      <c r="A25" s="300"/>
      <c r="B25" s="275" t="s">
        <v>443</v>
      </c>
      <c r="C25" s="276" t="s">
        <v>444</v>
      </c>
      <c r="D25" s="277" t="s">
        <v>2153</v>
      </c>
      <c r="E25" s="276" t="s">
        <v>2148</v>
      </c>
      <c r="F25" s="276" t="s">
        <v>446</v>
      </c>
      <c r="G25" s="24"/>
    </row>
    <row r="26" spans="1:7" ht="98.15" customHeight="1">
      <c r="A26" s="300"/>
      <c r="B26" s="312">
        <v>3</v>
      </c>
      <c r="C26" s="306" t="s">
        <v>66</v>
      </c>
      <c r="D26" s="309" t="s">
        <v>2154</v>
      </c>
      <c r="E26" s="297" t="s">
        <v>0</v>
      </c>
      <c r="F26" s="279" t="s">
        <v>60</v>
      </c>
      <c r="G26" s="24"/>
    </row>
    <row r="27" spans="1:7" ht="90" customHeight="1">
      <c r="A27" s="300"/>
      <c r="B27" s="313"/>
      <c r="C27" s="307"/>
      <c r="D27" s="310"/>
      <c r="E27" s="298"/>
      <c r="F27" s="280" t="s">
        <v>55</v>
      </c>
      <c r="G27" s="24"/>
    </row>
    <row r="28" spans="1:7" ht="19.399999999999999" customHeight="1">
      <c r="A28" s="300"/>
      <c r="B28" s="313"/>
      <c r="C28" s="307"/>
      <c r="D28" s="310"/>
      <c r="E28" s="298"/>
      <c r="F28" s="280" t="s">
        <v>56</v>
      </c>
      <c r="G28" s="24"/>
    </row>
    <row r="29" spans="1:7" ht="74.5" customHeight="1">
      <c r="A29" s="300"/>
      <c r="B29" s="313"/>
      <c r="C29" s="307"/>
      <c r="D29" s="310"/>
      <c r="E29" s="298"/>
      <c r="F29" s="280" t="s">
        <v>57</v>
      </c>
      <c r="G29" s="24"/>
    </row>
    <row r="30" spans="1:7" ht="62.5" customHeight="1">
      <c r="A30" s="300"/>
      <c r="B30" s="313"/>
      <c r="C30" s="307"/>
      <c r="D30" s="310"/>
      <c r="E30" s="298"/>
      <c r="F30" s="280" t="s">
        <v>58</v>
      </c>
      <c r="G30" s="24"/>
    </row>
    <row r="31" spans="1:7" ht="81" customHeight="1">
      <c r="A31" s="300"/>
      <c r="B31" s="313"/>
      <c r="C31" s="307"/>
      <c r="D31" s="310"/>
      <c r="E31" s="298"/>
      <c r="F31" s="280" t="s">
        <v>59</v>
      </c>
      <c r="G31" s="24"/>
    </row>
    <row r="32" spans="1:7" ht="48.75" customHeight="1">
      <c r="A32" s="300"/>
      <c r="B32" s="313"/>
      <c r="C32" s="307"/>
      <c r="D32" s="310"/>
      <c r="E32" s="298"/>
      <c r="F32" s="280" t="s">
        <v>62</v>
      </c>
      <c r="G32" s="24"/>
    </row>
    <row r="33" spans="1:7" ht="98.5" customHeight="1">
      <c r="A33" s="300"/>
      <c r="B33" s="313"/>
      <c r="C33" s="307"/>
      <c r="D33" s="310"/>
      <c r="E33" s="298"/>
      <c r="F33" s="280" t="s">
        <v>61</v>
      </c>
      <c r="G33" s="24"/>
    </row>
    <row r="34" spans="1:7" ht="89.15" customHeight="1">
      <c r="A34" s="300"/>
      <c r="B34" s="313"/>
      <c r="C34" s="307"/>
      <c r="D34" s="310"/>
      <c r="E34" s="298"/>
      <c r="F34" s="280" t="s">
        <v>63</v>
      </c>
      <c r="G34" s="24"/>
    </row>
    <row r="35" spans="1:7" ht="29.15" customHeight="1">
      <c r="A35" s="300"/>
      <c r="B35" s="313"/>
      <c r="C35" s="307"/>
      <c r="D35" s="310"/>
      <c r="E35" s="298"/>
      <c r="F35" s="280" t="s">
        <v>64</v>
      </c>
      <c r="G35" s="24"/>
    </row>
    <row r="36" spans="1:7" ht="138.5">
      <c r="A36" s="300"/>
      <c r="B36" s="314"/>
      <c r="C36" s="308"/>
      <c r="D36" s="311"/>
      <c r="E36" s="299"/>
      <c r="F36" s="282" t="s">
        <v>65</v>
      </c>
      <c r="G36" s="24"/>
    </row>
    <row r="37" spans="1:7" ht="149.5">
      <c r="A37" s="300"/>
      <c r="B37" s="281">
        <v>3.01</v>
      </c>
      <c r="C37" s="283" t="s">
        <v>66</v>
      </c>
      <c r="D37" s="277" t="s">
        <v>2155</v>
      </c>
      <c r="E37" s="284" t="s">
        <v>1282</v>
      </c>
      <c r="F37" s="285" t="s">
        <v>1384</v>
      </c>
      <c r="G37" s="24"/>
    </row>
    <row r="38" spans="1:7" ht="138">
      <c r="A38" s="300"/>
      <c r="B38" s="281">
        <v>3.02</v>
      </c>
      <c r="C38" s="283" t="s">
        <v>1314</v>
      </c>
      <c r="D38" s="277" t="s">
        <v>2156</v>
      </c>
      <c r="E38" s="284" t="s">
        <v>1329</v>
      </c>
      <c r="F38" s="285" t="s">
        <v>1385</v>
      </c>
      <c r="G38" s="24"/>
    </row>
    <row r="39" spans="1:7" ht="103.5">
      <c r="A39" s="300"/>
      <c r="B39" s="286">
        <v>4</v>
      </c>
      <c r="C39" s="287" t="s">
        <v>1480</v>
      </c>
      <c r="D39" s="277" t="s">
        <v>2157</v>
      </c>
      <c r="E39" s="276" t="s">
        <v>2104</v>
      </c>
      <c r="F39" s="276" t="s">
        <v>1481</v>
      </c>
      <c r="G39" s="24"/>
    </row>
    <row r="40" spans="1:7" ht="57.5">
      <c r="A40" s="300"/>
      <c r="B40" s="281">
        <v>4.01</v>
      </c>
      <c r="C40" s="287" t="s">
        <v>1480</v>
      </c>
      <c r="D40" s="277" t="s">
        <v>2159</v>
      </c>
      <c r="E40" s="276" t="s">
        <v>2116</v>
      </c>
      <c r="F40" s="276" t="s">
        <v>2120</v>
      </c>
      <c r="G40" s="24"/>
    </row>
    <row r="41" spans="1:7" ht="57.5">
      <c r="A41" s="300"/>
      <c r="B41" s="281" t="s">
        <v>2146</v>
      </c>
      <c r="C41" s="287" t="s">
        <v>1480</v>
      </c>
      <c r="D41" s="277" t="s">
        <v>2158</v>
      </c>
      <c r="E41" s="276" t="s">
        <v>2149</v>
      </c>
      <c r="F41" s="276" t="s">
        <v>2147</v>
      </c>
      <c r="G41" s="24"/>
    </row>
    <row r="42" spans="1:7" ht="57.5">
      <c r="A42" s="300"/>
      <c r="B42" s="281" t="s">
        <v>2173</v>
      </c>
      <c r="C42" s="287" t="s">
        <v>1480</v>
      </c>
      <c r="D42" s="277" t="s">
        <v>2178</v>
      </c>
      <c r="E42" s="276" t="s">
        <v>2148</v>
      </c>
      <c r="F42" s="276" t="s">
        <v>2174</v>
      </c>
      <c r="G42" s="24"/>
    </row>
    <row r="43" spans="1:7" ht="172.5">
      <c r="A43" s="300"/>
      <c r="B43" s="288">
        <v>4.0999999999999996</v>
      </c>
      <c r="C43" s="287" t="s">
        <v>2177</v>
      </c>
      <c r="D43" s="289">
        <v>42867</v>
      </c>
      <c r="E43" s="290" t="s">
        <v>2180</v>
      </c>
      <c r="F43" s="276" t="s">
        <v>2179</v>
      </c>
      <c r="G43" s="24"/>
    </row>
    <row r="44" spans="1:7" ht="103.5">
      <c r="A44" s="300"/>
      <c r="B44" s="288">
        <v>4.2</v>
      </c>
      <c r="C44" s="287" t="s">
        <v>2177</v>
      </c>
      <c r="D44" s="289">
        <v>42704</v>
      </c>
      <c r="E44" s="290" t="s">
        <v>2369</v>
      </c>
      <c r="F44" s="276" t="s">
        <v>2344</v>
      </c>
      <c r="G44" s="24"/>
    </row>
    <row r="45" spans="1:7" ht="207">
      <c r="A45" s="300"/>
      <c r="B45" s="291">
        <v>5</v>
      </c>
      <c r="C45" s="287" t="s">
        <v>2177</v>
      </c>
      <c r="D45" s="289">
        <v>42867</v>
      </c>
      <c r="E45" s="290" t="s">
        <v>12256</v>
      </c>
      <c r="F45" s="276" t="s">
        <v>11978</v>
      </c>
      <c r="G45" s="24"/>
    </row>
    <row r="46" spans="1:7" ht="57.5">
      <c r="A46" s="300"/>
      <c r="B46" s="288">
        <v>5.01</v>
      </c>
      <c r="C46" s="287" t="s">
        <v>2177</v>
      </c>
      <c r="D46" s="289">
        <v>42907</v>
      </c>
      <c r="E46" s="290" t="s">
        <v>14886</v>
      </c>
      <c r="F46" s="276" t="s">
        <v>11978</v>
      </c>
      <c r="G46" s="24"/>
    </row>
    <row r="47" spans="1:7" ht="92">
      <c r="A47" s="300"/>
      <c r="B47" s="288">
        <v>5.0999999999999996</v>
      </c>
      <c r="C47" s="287" t="s">
        <v>2177</v>
      </c>
      <c r="D47" s="289">
        <v>43070</v>
      </c>
      <c r="E47" s="290" t="s">
        <v>12456</v>
      </c>
      <c r="F47" s="276" t="s">
        <v>12457</v>
      </c>
      <c r="G47" s="24"/>
    </row>
    <row r="48" spans="1:7" ht="80.5">
      <c r="A48" s="300"/>
      <c r="B48" s="288">
        <v>5.1100000000000003</v>
      </c>
      <c r="C48" s="287" t="s">
        <v>12684</v>
      </c>
      <c r="D48" s="289">
        <v>43217</v>
      </c>
      <c r="E48" s="290" t="s">
        <v>12786</v>
      </c>
      <c r="F48" s="276" t="s">
        <v>12711</v>
      </c>
      <c r="G48" s="24"/>
    </row>
    <row r="49" spans="1:7" ht="80.5">
      <c r="A49" s="300"/>
      <c r="B49" s="288">
        <v>5.12</v>
      </c>
      <c r="C49" s="287" t="s">
        <v>12684</v>
      </c>
      <c r="D49" s="289">
        <v>43581</v>
      </c>
      <c r="E49" s="290" t="s">
        <v>12786</v>
      </c>
      <c r="F49" s="276" t="s">
        <v>13315</v>
      </c>
      <c r="G49" s="24"/>
    </row>
    <row r="50" spans="1:7" ht="115">
      <c r="A50" s="300"/>
      <c r="B50" s="291">
        <v>6</v>
      </c>
      <c r="C50" s="287" t="s">
        <v>12684</v>
      </c>
      <c r="D50" s="289">
        <v>43964</v>
      </c>
      <c r="E50" s="290" t="s">
        <v>13527</v>
      </c>
      <c r="F50" s="276" t="s">
        <v>13318</v>
      </c>
      <c r="G50" s="24"/>
    </row>
    <row r="51" spans="1:7" ht="57.5">
      <c r="A51" s="300"/>
      <c r="B51" s="288">
        <v>6.01</v>
      </c>
      <c r="C51" s="287" t="s">
        <v>12684</v>
      </c>
      <c r="D51" s="289">
        <v>43970</v>
      </c>
      <c r="E51" s="290" t="s">
        <v>14887</v>
      </c>
      <c r="F51" s="290" t="s">
        <v>13318</v>
      </c>
      <c r="G51" s="24"/>
    </row>
    <row r="52" spans="1:7" ht="57.5">
      <c r="A52" s="300"/>
      <c r="B52" s="288">
        <v>6.1</v>
      </c>
      <c r="C52" s="287" t="s">
        <v>12684</v>
      </c>
      <c r="D52" s="289">
        <v>44314</v>
      </c>
      <c r="E52" s="290" t="s">
        <v>14880</v>
      </c>
      <c r="F52" s="290" t="s">
        <v>14487</v>
      </c>
      <c r="G52" s="24"/>
    </row>
    <row r="53" spans="1:7" ht="57.5">
      <c r="A53" s="300"/>
      <c r="B53" s="288">
        <v>6.2</v>
      </c>
      <c r="C53" s="287" t="s">
        <v>12684</v>
      </c>
      <c r="D53" s="289">
        <v>44678</v>
      </c>
      <c r="E53" s="290" t="s">
        <v>14880</v>
      </c>
      <c r="F53" s="290" t="s">
        <v>14879</v>
      </c>
      <c r="G53" s="24"/>
    </row>
    <row r="54" spans="1:7" ht="57.5">
      <c r="A54" s="300"/>
      <c r="B54" s="288">
        <v>6.21</v>
      </c>
      <c r="C54" s="287" t="s">
        <v>12684</v>
      </c>
      <c r="D54" s="289">
        <v>44687</v>
      </c>
      <c r="E54" s="290" t="s">
        <v>14888</v>
      </c>
      <c r="F54" s="290" t="s">
        <v>14879</v>
      </c>
      <c r="G54" s="24"/>
    </row>
    <row r="55" spans="1:7" ht="57.5">
      <c r="A55" s="300"/>
      <c r="B55" s="288">
        <v>6.22</v>
      </c>
      <c r="C55" s="287" t="s">
        <v>12684</v>
      </c>
      <c r="D55" s="292">
        <v>44692</v>
      </c>
      <c r="E55" s="290" t="s">
        <v>14887</v>
      </c>
      <c r="F55" s="290" t="s">
        <v>14879</v>
      </c>
      <c r="G55" s="24"/>
    </row>
    <row r="56" spans="1:7" ht="80.5">
      <c r="A56" s="300"/>
      <c r="B56" s="291">
        <v>6.3</v>
      </c>
      <c r="C56" s="287" t="s">
        <v>12684</v>
      </c>
      <c r="D56" s="292">
        <v>45051</v>
      </c>
      <c r="E56" s="290" t="s">
        <v>15144</v>
      </c>
      <c r="F56" s="290" t="s">
        <v>14925</v>
      </c>
      <c r="G56" s="24"/>
    </row>
    <row r="57" spans="1:7" ht="57.5">
      <c r="A57" s="300"/>
      <c r="B57" s="288">
        <v>6.31</v>
      </c>
      <c r="C57" s="287" t="s">
        <v>12684</v>
      </c>
      <c r="D57" s="292">
        <v>45072</v>
      </c>
      <c r="E57" s="290" t="s">
        <v>15146</v>
      </c>
      <c r="F57" s="290" t="s">
        <v>14925</v>
      </c>
      <c r="G57" s="24"/>
    </row>
    <row r="58" spans="1:7" ht="57.5">
      <c r="A58" s="300"/>
      <c r="B58" s="291">
        <v>6.4</v>
      </c>
      <c r="C58" s="287" t="s">
        <v>12684</v>
      </c>
      <c r="D58" s="292">
        <v>45408</v>
      </c>
      <c r="E58" s="290" t="s">
        <v>15148</v>
      </c>
      <c r="F58" s="290" t="s">
        <v>15147</v>
      </c>
      <c r="G58" s="24"/>
    </row>
    <row r="59" spans="1:7" ht="57.5">
      <c r="A59" s="300"/>
      <c r="B59" s="291">
        <v>6.5</v>
      </c>
      <c r="C59" s="287" t="s">
        <v>12684</v>
      </c>
      <c r="D59" s="292">
        <v>45772</v>
      </c>
      <c r="E59" s="290" t="s">
        <v>15217</v>
      </c>
      <c r="F59" s="290" t="s">
        <v>15259</v>
      </c>
      <c r="G59" s="24"/>
    </row>
    <row r="60" spans="1:7" ht="80.5">
      <c r="A60" s="300"/>
      <c r="B60" s="291">
        <v>6.6</v>
      </c>
      <c r="C60" s="287" t="s">
        <v>12684</v>
      </c>
      <c r="D60" s="292">
        <v>46129</v>
      </c>
      <c r="E60" s="290" t="s">
        <v>15870</v>
      </c>
      <c r="F60" s="293" t="s">
        <v>15352</v>
      </c>
      <c r="G60" s="24"/>
    </row>
    <row r="61" spans="1:7" ht="14" thickBot="1">
      <c r="A61" s="301"/>
      <c r="B61" s="302" t="str">
        <f ca="1">OFFSET(L!$C$1,MATCH("General"&amp;"Cpy",L!$A:$A,0)-1,SL,,)</f>
        <v>© 2026 Responsible Minerals Initiative. All rights reserved.</v>
      </c>
      <c r="C61" s="302"/>
      <c r="D61" s="302"/>
      <c r="E61" s="302"/>
      <c r="F61" s="302"/>
      <c r="G61" s="25"/>
    </row>
    <row r="62" spans="1:7" ht="14"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62" customWidth="1"/>
    <col min="2" max="2" width="57.15234375" style="62" customWidth="1"/>
    <col min="3" max="16384" width="8.843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738DDE7B-A314-45AE-9D70-6B718E33683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95208A4F-B9FC-47F7-BE9C-AF869E831166}"/>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5"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5"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4"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5"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5" customHeight="1">
      <c r="A52" s="99" t="str">
        <f ca="1">OFFSET(L!$C$1,MATCH("Instructions"&amp;ADDRESS(ROW(),COLUMN(),4),L!$A:$A,0)-1,SL,,)</f>
        <v>2. Metal (*)   -   Use the pull down menu to select the metal for which you are entering smelter information.  This field is mandatory.</v>
      </c>
      <c r="B52" s="97"/>
    </row>
    <row r="53" spans="1:2" ht="79"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5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4"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5"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5"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4"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4"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5"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5"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0">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3"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4" thickBot="1">
      <c r="A33" s="72"/>
      <c r="B33" s="146"/>
      <c r="C33" s="146"/>
      <c r="D33" s="323"/>
    </row>
    <row r="34" spans="1:4" ht="14"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selection activeCell="D8" sqref="D8:J8"/>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5" thickTop="1">
      <c r="A1" s="358"/>
      <c r="B1" s="359"/>
      <c r="C1" s="359"/>
      <c r="D1" s="359"/>
      <c r="E1" s="359"/>
      <c r="F1" s="359"/>
      <c r="G1" s="359"/>
      <c r="H1" s="359"/>
      <c r="I1" s="359"/>
      <c r="J1" s="359"/>
      <c r="K1" s="360"/>
      <c r="L1" s="97"/>
      <c r="P1" s="2"/>
      <c r="Q1" s="2"/>
      <c r="R1" s="2"/>
      <c r="S1" s="2"/>
      <c r="T1" s="2"/>
      <c r="U1" s="2"/>
      <c r="V1" s="2"/>
      <c r="W1" s="2"/>
      <c r="X1" s="2"/>
      <c r="Y1" s="2"/>
      <c r="Z1" s="2"/>
      <c r="AA1" s="2"/>
      <c r="AB1" s="2"/>
      <c r="AC1" s="2"/>
      <c r="AD1" s="2"/>
      <c r="AE1" s="2"/>
      <c r="AF1" s="2"/>
      <c r="AG1" s="2"/>
      <c r="AH1" s="2"/>
    </row>
    <row r="2" spans="1:34" ht="82.4" customHeight="1">
      <c r="A2" s="31"/>
      <c r="B2" s="133"/>
      <c r="C2" s="32"/>
      <c r="D2" s="361" t="str">
        <f ca="1">OFFSET(L!$C$1,MATCH("Declaration"&amp;ADDRESS(ROW(),COLUMN(),4),L!$A:$A,0)-1,SL,,)</f>
        <v>Conflict Minerals Reporting Template (CMRT)</v>
      </c>
      <c r="E2" s="362"/>
      <c r="F2" s="362"/>
      <c r="G2" s="362"/>
      <c r="H2" s="362"/>
      <c r="I2" s="362"/>
      <c r="J2" s="36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1"/>
      <c r="G3" s="371"/>
      <c r="H3" s="371"/>
      <c r="I3" s="145"/>
      <c r="J3" s="135" t="s">
        <v>15370</v>
      </c>
      <c r="K3" s="33"/>
      <c r="L3" s="97"/>
      <c r="P3" s="42">
        <f>MATCH($D$3,LN,0)</f>
        <v>1</v>
      </c>
    </row>
    <row r="4" spans="1:34" ht="15">
      <c r="A4" s="31"/>
      <c r="B4" s="367" t="str">
        <f ca="1">OFFSET(L!$C$1,MATCH("Declaration"&amp;ADDRESS(ROW(),COLUMN(),4),L!$A:$A,0)-1,SL,,)</f>
        <v>The purpose of this document is to collect sourcing information on tin, tantalum, tungsten and gold used in products</v>
      </c>
      <c r="C4" s="367"/>
      <c r="D4" s="367"/>
      <c r="E4" s="367"/>
      <c r="F4" s="367"/>
      <c r="G4" s="367"/>
      <c r="H4" s="367"/>
      <c r="I4" s="372" t="str">
        <f ca="1">OFFSET(L!$C$1,MATCH("Declaration"&amp;ADDRESS(ROW(),COLUMN(),4),L!$A:$A,0)-1,SL,,)</f>
        <v>Link to Terms &amp; Conditions</v>
      </c>
      <c r="J4" s="372"/>
      <c r="K4" s="33"/>
      <c r="L4" s="112"/>
      <c r="P4" s="2"/>
      <c r="Q4" s="2"/>
      <c r="R4" s="2"/>
      <c r="S4" s="2"/>
      <c r="T4" s="2"/>
      <c r="U4" s="2"/>
      <c r="V4" s="2"/>
      <c r="W4" s="2"/>
      <c r="X4" s="2"/>
      <c r="Y4" s="2"/>
      <c r="Z4" s="2"/>
      <c r="AA4" s="2"/>
      <c r="AB4" s="2"/>
      <c r="AC4" s="2"/>
      <c r="AD4" s="2"/>
      <c r="AE4" s="2"/>
      <c r="AF4" s="2"/>
      <c r="AG4" s="2"/>
      <c r="AH4" s="2"/>
    </row>
    <row r="5" spans="1:34" ht="15">
      <c r="A5" s="131" t="str">
        <f>LEFT(D9,1)</f>
        <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67" t="str">
        <f ca="1">OFFSET(L!$C$1,MATCH("Declaration"&amp;ADDRESS(ROW(),COLUMN(),4),L!$A:$A,0)-1,SL,,)</f>
        <v>Mandatory fields are noted with an asterisk (*).  Consult the instructions tab for guidance on how to answer each question.</v>
      </c>
      <c r="C6" s="367"/>
      <c r="D6" s="367"/>
      <c r="E6" s="367"/>
      <c r="F6" s="367"/>
      <c r="G6" s="367"/>
      <c r="H6" s="367"/>
      <c r="I6" s="367"/>
      <c r="J6" s="367"/>
      <c r="K6" s="33"/>
      <c r="L6" s="112" t="s">
        <v>428</v>
      </c>
      <c r="P6" s="2"/>
      <c r="Q6" s="2"/>
      <c r="R6" s="2"/>
      <c r="S6" s="2"/>
      <c r="T6" s="2"/>
      <c r="U6" s="2"/>
      <c r="V6" s="2"/>
      <c r="W6" s="2"/>
      <c r="X6" s="2"/>
      <c r="Y6" s="2"/>
      <c r="Z6" s="2"/>
      <c r="AA6" s="2"/>
      <c r="AB6" s="2"/>
      <c r="AC6" s="2"/>
      <c r="AD6" s="2"/>
      <c r="AE6" s="2"/>
      <c r="AF6" s="2"/>
      <c r="AG6" s="2"/>
      <c r="AH6" s="2"/>
    </row>
    <row r="7" spans="1:34" ht="37" customHeight="1">
      <c r="A7" s="31"/>
      <c r="B7" s="376" t="str">
        <f ca="1">OFFSET(L!$C$1,MATCH("Declaration"&amp;ADDRESS(ROW(),COLUMN(),4),L!$A:$A,0)-1,SL,,)</f>
        <v>Company Information</v>
      </c>
      <c r="C7" s="376"/>
      <c r="D7" s="376"/>
      <c r="E7" s="376"/>
      <c r="F7" s="376"/>
      <c r="G7" s="376"/>
      <c r="H7" s="376"/>
      <c r="I7" s="376"/>
      <c r="J7" s="376"/>
      <c r="K7" s="33"/>
      <c r="L7" s="112"/>
      <c r="P7" s="2"/>
      <c r="Q7" s="2"/>
      <c r="R7" s="2"/>
      <c r="S7" s="2"/>
      <c r="T7" s="2"/>
      <c r="U7" s="2"/>
      <c r="V7" s="2"/>
      <c r="W7" s="2"/>
      <c r="X7" s="2"/>
      <c r="Y7" s="2"/>
      <c r="Z7" s="2"/>
      <c r="AA7" s="2"/>
      <c r="AB7" s="2"/>
      <c r="AC7" s="2"/>
      <c r="AD7" s="2"/>
      <c r="AE7" s="2"/>
      <c r="AF7" s="2"/>
      <c r="AG7" s="2"/>
      <c r="AH7" s="2"/>
    </row>
    <row r="8" spans="1:34" ht="15">
      <c r="A8" s="35"/>
      <c r="B8" s="70" t="str">
        <f ca="1">OFFSET(L!$C$1,MATCH("Declaration"&amp;ADDRESS(ROW(),COLUMN(),4),L!$A:$A,0)-1,SL,,)</f>
        <v>Company Name (*):</v>
      </c>
      <c r="C8" s="73"/>
      <c r="D8" s="364"/>
      <c r="E8" s="365"/>
      <c r="F8" s="365"/>
      <c r="G8" s="365"/>
      <c r="H8" s="365"/>
      <c r="I8" s="365"/>
      <c r="J8" s="366"/>
      <c r="K8" s="36"/>
      <c r="L8" s="112"/>
      <c r="P8" s="2"/>
      <c r="Q8" s="2"/>
      <c r="R8" s="2"/>
      <c r="S8" s="2"/>
      <c r="T8" s="2"/>
      <c r="U8" s="2"/>
      <c r="V8" s="2"/>
      <c r="W8" s="2"/>
      <c r="X8" s="2"/>
      <c r="Y8" s="2"/>
      <c r="Z8" s="2"/>
      <c r="AA8" s="2"/>
      <c r="AB8" s="2"/>
      <c r="AC8" s="2"/>
      <c r="AD8" s="2"/>
      <c r="AE8" s="2"/>
      <c r="AF8" s="2"/>
      <c r="AG8" s="2"/>
      <c r="AH8" s="2"/>
    </row>
    <row r="9" spans="1:34" ht="15">
      <c r="A9" s="35"/>
      <c r="B9" s="70" t="str">
        <f ca="1">OFFSET(L!$C$1,MATCH("Declaration"&amp;ADDRESS(ROW(),COLUMN(),4),L!$A:$A,0)-1,SL,,)</f>
        <v>Declaration Scope or Class (*):</v>
      </c>
      <c r="C9" s="73"/>
      <c r="D9" s="373"/>
      <c r="E9" s="374"/>
      <c r="F9" s="374"/>
      <c r="G9" s="37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5" customHeight="1">
      <c r="A10" s="35"/>
      <c r="B10" s="377" t="str">
        <f ca="1">OFFSET(L!$C$1,MATCH("Declaration"&amp;ADDRESS(ROW(),COLUMN(),4)&amp;LEFT($D$9,1),L!$A:$A,0)-1,SL,,)</f>
        <v>Description of Scope:</v>
      </c>
      <c r="C10" s="119"/>
      <c r="D10" s="368"/>
      <c r="E10" s="369"/>
      <c r="F10" s="369"/>
      <c r="G10" s="369"/>
      <c r="H10" s="369"/>
      <c r="I10" s="369"/>
      <c r="J10" s="370"/>
      <c r="K10" s="33"/>
      <c r="L10" s="112"/>
      <c r="Q10" s="2"/>
      <c r="R10" s="2"/>
      <c r="S10" s="2"/>
      <c r="T10" s="2"/>
      <c r="U10" s="2"/>
      <c r="V10" s="2"/>
      <c r="W10" s="2"/>
      <c r="X10" s="2"/>
      <c r="Y10" s="2"/>
      <c r="Z10" s="2"/>
      <c r="AA10" s="2"/>
      <c r="AB10" s="2"/>
      <c r="AC10" s="2"/>
      <c r="AD10" s="2"/>
      <c r="AE10" s="2"/>
      <c r="AF10" s="2"/>
      <c r="AG10" s="2"/>
      <c r="AH10" s="2"/>
    </row>
    <row r="11" spans="1:34" ht="15">
      <c r="A11" s="35"/>
      <c r="B11" s="378"/>
      <c r="C11" s="119"/>
      <c r="D11" s="343" t="str">
        <f ca="1">IF(D9=Q9,OFFSET(L!$C$1,MATCH("Declaration"&amp;ADDRESS(ROW(),COLUMN(),4),L!$A:$A,0)-1,SL,,),"")</f>
        <v/>
      </c>
      <c r="E11" s="344"/>
      <c r="F11" s="344"/>
      <c r="G11" s="344"/>
      <c r="H11" s="344"/>
      <c r="I11" s="344"/>
      <c r="J11" s="345"/>
      <c r="K11" s="33"/>
      <c r="L11" s="112"/>
      <c r="Q11" s="2"/>
      <c r="R11" s="2"/>
      <c r="S11" s="2"/>
      <c r="T11" s="2"/>
      <c r="U11" s="2"/>
      <c r="V11" s="2"/>
      <c r="W11" s="2"/>
      <c r="X11" s="2"/>
      <c r="Y11" s="2"/>
      <c r="Z11" s="2"/>
      <c r="AA11" s="2"/>
      <c r="AB11" s="2"/>
      <c r="AC11" s="2"/>
      <c r="AD11" s="2"/>
      <c r="AE11" s="2"/>
      <c r="AF11" s="2"/>
      <c r="AG11" s="2"/>
      <c r="AH11" s="2"/>
    </row>
    <row r="12" spans="1:34" ht="1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
      <c r="A15" s="35"/>
      <c r="B15" s="37" t="str">
        <f ca="1">OFFSET(L!$C$1,MATCH("Declaration"&amp;ADDRESS(ROW(),COLUMN(),4),L!$A:$A,0)-1,SL,,)</f>
        <v>Contact Name (*):</v>
      </c>
      <c r="C15" s="74"/>
      <c r="D15" s="351"/>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
      <c r="A16" s="35"/>
      <c r="B16" s="37" t="str">
        <f ca="1">OFFSET(L!$C$1,MATCH("Declaration"&amp;ADDRESS(ROW(),COLUMN(),4),L!$A:$A,0)-1,SL,,)</f>
        <v>Email – Contact (*):</v>
      </c>
      <c r="C16" s="74"/>
      <c r="D16" s="379"/>
      <c r="E16" s="380"/>
      <c r="F16" s="380"/>
      <c r="G16" s="380"/>
      <c r="H16" s="380"/>
      <c r="I16" s="380"/>
      <c r="J16" s="381"/>
      <c r="K16" s="33"/>
      <c r="L16" s="112"/>
      <c r="Q16" s="2"/>
      <c r="R16" s="2"/>
      <c r="S16" s="2"/>
      <c r="T16" s="2"/>
      <c r="U16" s="2"/>
      <c r="V16" s="2"/>
      <c r="W16" s="2"/>
      <c r="X16" s="2"/>
      <c r="Y16" s="2"/>
      <c r="Z16" s="2"/>
      <c r="AA16" s="2"/>
      <c r="AB16" s="2"/>
      <c r="AC16" s="2"/>
      <c r="AD16" s="2"/>
      <c r="AE16" s="2"/>
      <c r="AF16" s="2"/>
      <c r="AG16" s="2"/>
      <c r="AH16" s="2"/>
    </row>
    <row r="17" spans="1:34" ht="15">
      <c r="A17" s="35"/>
      <c r="B17" s="37" t="str">
        <f ca="1">OFFSET(L!$C$1,MATCH("Declaration"&amp;ADDRESS(ROW(),COLUMN(),4),L!$A:$A,0)-1,SL,,)</f>
        <v>Phone – Contact (*):</v>
      </c>
      <c r="C17" s="74"/>
      <c r="D17" s="351"/>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3">
      <c r="A18" s="35"/>
      <c r="B18" s="37" t="str">
        <f ca="1">OFFSET(L!$C$1,MATCH("Declaration"&amp;ADDRESS(ROW(),COLUMN(),4),L!$A:$A,0)-1,SL,,)</f>
        <v>Authorizer (*):</v>
      </c>
      <c r="C18" s="74"/>
      <c r="D18" s="324"/>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3">
      <c r="A19" s="35"/>
      <c r="B19" s="37" t="str">
        <f ca="1">OFFSET(L!$C$1,MATCH("Declaration"&amp;ADDRESS(ROW(),COLUMN(),4),L!$A:$A,0)-1,SL,,)</f>
        <v>Title - Authorizer:</v>
      </c>
      <c r="C19" s="74"/>
      <c r="D19" s="351"/>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3">
      <c r="A20" s="35"/>
      <c r="B20" s="37" t="str">
        <f ca="1">OFFSET(L!$C$1,MATCH("Declaration"&amp;ADDRESS(ROW(),COLUMN(),4),L!$A:$A,0)-1,SL,,)</f>
        <v>Email - Authorizer (*):</v>
      </c>
      <c r="C20" s="74"/>
      <c r="D20" s="379"/>
      <c r="E20" s="380"/>
      <c r="F20" s="380"/>
      <c r="G20" s="380"/>
      <c r="H20" s="380"/>
      <c r="I20" s="380"/>
      <c r="J20" s="381"/>
      <c r="K20" s="33"/>
      <c r="L20" s="107"/>
      <c r="P20" s="2"/>
      <c r="Q20" s="2"/>
      <c r="R20" s="2"/>
      <c r="S20" s="2"/>
      <c r="T20" s="2"/>
      <c r="U20" s="2"/>
      <c r="V20" s="2"/>
      <c r="W20" s="2"/>
      <c r="X20" s="2"/>
      <c r="Y20" s="2"/>
      <c r="Z20" s="2"/>
      <c r="AA20" s="2"/>
      <c r="AB20" s="2"/>
      <c r="AC20" s="2"/>
      <c r="AD20" s="2"/>
      <c r="AE20" s="2"/>
      <c r="AF20" s="2"/>
      <c r="AG20" s="2"/>
      <c r="AH20" s="2"/>
    </row>
    <row r="21" spans="1:34" ht="15">
      <c r="A21" s="35"/>
      <c r="B21" s="37" t="str">
        <f ca="1">OFFSET(L!$C$1,MATCH("Declaration"&amp;ADDRESS(ROW(),COLUMN(),4),L!$A:$A,0)-1,SL,,)</f>
        <v>Phone - Authorizer:</v>
      </c>
      <c r="C21" s="130"/>
      <c r="D21" s="382"/>
      <c r="E21" s="383"/>
      <c r="F21" s="383"/>
      <c r="G21" s="383"/>
      <c r="H21" s="383"/>
      <c r="I21" s="383"/>
      <c r="J21" s="384"/>
      <c r="K21" s="33"/>
      <c r="L21" s="112"/>
      <c r="P21" s="2"/>
      <c r="Q21" s="2"/>
      <c r="R21" s="2"/>
      <c r="S21" s="2"/>
      <c r="T21" s="2"/>
      <c r="U21" s="2"/>
      <c r="V21" s="2"/>
      <c r="W21" s="2"/>
      <c r="X21" s="2"/>
      <c r="Y21" s="2"/>
      <c r="Z21" s="2"/>
      <c r="AA21" s="2"/>
      <c r="AB21" s="2"/>
      <c r="AC21" s="2"/>
      <c r="AD21" s="2"/>
      <c r="AE21" s="2"/>
      <c r="AF21" s="2"/>
      <c r="AG21" s="2"/>
      <c r="AH21" s="2"/>
    </row>
    <row r="22" spans="1:34" ht="17.5">
      <c r="A22" s="35"/>
      <c r="B22" s="37" t="str">
        <f ca="1">OFFSET(L!$C$1,MATCH("Declaration"&amp;ADDRESS(ROW(),COLUMN(),4),L!$A:$A,0)-1,SL,,)</f>
        <v>Effective Date (*):</v>
      </c>
      <c r="C22" s="75"/>
      <c r="D22" s="385"/>
      <c r="E22" s="38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5">
      <c r="A23" s="38"/>
      <c r="B23" s="76"/>
      <c r="C23" s="16"/>
      <c r="D23" s="354"/>
      <c r="E23" s="35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
      <c r="A24" s="39"/>
      <c r="B24" s="387" t="str">
        <f ca="1">OFFSET(L!$C$1,MATCH("Declaration"&amp;ADDRESS(ROW(),COLUMN(),4),L!$A:$A,0)-1,SL,,)</f>
        <v>Answer the following questions 1 - 8 based on the declaration scope indicated above</v>
      </c>
      <c r="C24" s="387"/>
      <c r="D24" s="387"/>
      <c r="E24" s="387"/>
      <c r="F24" s="387"/>
      <c r="G24" s="387"/>
      <c r="H24" s="387"/>
      <c r="I24" s="387"/>
      <c r="J24" s="387"/>
      <c r="K24" s="40"/>
      <c r="L24" s="108"/>
      <c r="P24" s="2"/>
      <c r="Q24" s="2"/>
      <c r="R24" s="2"/>
      <c r="S24" s="2"/>
      <c r="T24" s="2"/>
      <c r="U24" s="2"/>
      <c r="V24" s="2"/>
      <c r="W24" s="2"/>
      <c r="X24" s="2"/>
      <c r="Y24" s="2"/>
      <c r="Z24" s="2"/>
      <c r="AA24" s="2"/>
      <c r="AB24" s="2"/>
      <c r="AC24" s="2"/>
      <c r="AD24" s="2"/>
      <c r="AE24" s="2"/>
      <c r="AF24" s="2"/>
      <c r="AG24" s="2"/>
      <c r="AH24" s="2"/>
    </row>
    <row r="25" spans="1:34" ht="48.65" customHeight="1">
      <c r="A25" s="38"/>
      <c r="B25" s="41" t="str">
        <f ca="1">OFFSET(L!$C$1,MATCH("Declaration"&amp;ADDRESS(ROW(),COLUMN(),4),L!$A:$A,0)-1,SL,,)</f>
        <v>1) Is any 3TG intentionally added or used in the product(s) or in the production process? (*)</v>
      </c>
      <c r="C25" s="16"/>
      <c r="D25" s="334" t="str">
        <f ca="1">OFFSET(L!$C$1,MATCH("Declaration"&amp;ADDRESS(ROW(),COLUMN(),4),L!$A:$A,0)-1,SL,,)</f>
        <v>Answer</v>
      </c>
      <c r="E25" s="33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3">
      <c r="A26" s="38"/>
      <c r="B26" s="37" t="str">
        <f ca="1">OFFSET(L!$C$1,MATCH("Declaration"&amp;ADDRESS(ROW(),COLUMN(),4),L!$A:$A,0)-1,SL,,)&amp;P26</f>
        <v>Tantalum  (*)</v>
      </c>
      <c r="C26" s="32"/>
      <c r="D26" s="327"/>
      <c r="E26" s="328"/>
      <c r="F26" s="11"/>
      <c r="G26" s="329"/>
      <c r="H26" s="330"/>
      <c r="I26" s="330"/>
      <c r="J26" s="331"/>
      <c r="K26" s="33"/>
      <c r="L26" s="113"/>
      <c r="P26" s="42" t="str">
        <f>IF(D$26="No","","(*)")</f>
        <v>(*)</v>
      </c>
      <c r="R26" s="2"/>
      <c r="S26" s="2"/>
      <c r="T26" s="2"/>
      <c r="U26" s="2"/>
      <c r="V26" s="2"/>
      <c r="W26" s="2"/>
      <c r="X26" s="2"/>
      <c r="Y26" s="2"/>
      <c r="Z26" s="2"/>
      <c r="AA26" s="2"/>
      <c r="AB26" s="2"/>
      <c r="AC26" s="2"/>
      <c r="AD26" s="2"/>
      <c r="AE26" s="2"/>
      <c r="AF26" s="2"/>
      <c r="AG26" s="2"/>
      <c r="AH26" s="2"/>
    </row>
    <row r="27" spans="1:34" ht="23">
      <c r="A27" s="38"/>
      <c r="B27" s="37" t="str">
        <f ca="1">OFFSET(L!$C$1,MATCH("Declaration"&amp;ADDRESS(ROW(),COLUMN(),4),L!$A:$A,0)-1,SL,,)&amp;P27</f>
        <v>Tin  (*)</v>
      </c>
      <c r="C27" s="32"/>
      <c r="D27" s="327"/>
      <c r="E27" s="328"/>
      <c r="F27" s="11"/>
      <c r="G27" s="329"/>
      <c r="H27" s="330"/>
      <c r="I27" s="330"/>
      <c r="J27" s="331"/>
      <c r="K27" s="33"/>
      <c r="L27" s="113"/>
      <c r="P27" s="42" t="str">
        <f>IF(D$27="No","","(*)")</f>
        <v>(*)</v>
      </c>
      <c r="R27" s="2"/>
      <c r="S27" s="2"/>
      <c r="T27" s="2"/>
      <c r="U27" s="2"/>
      <c r="V27" s="2"/>
      <c r="W27" s="2"/>
      <c r="X27" s="2"/>
      <c r="Y27" s="2"/>
      <c r="Z27" s="2"/>
      <c r="AA27" s="2"/>
      <c r="AB27" s="2"/>
      <c r="AC27" s="2"/>
      <c r="AD27" s="2"/>
      <c r="AE27" s="2"/>
      <c r="AF27" s="2"/>
      <c r="AG27" s="2"/>
      <c r="AH27" s="2"/>
    </row>
    <row r="28" spans="1:34" ht="23">
      <c r="A28" s="38"/>
      <c r="B28" s="37" t="str">
        <f ca="1">OFFSET(L!$C$1,MATCH("Declaration"&amp;ADDRESS(ROW(),COLUMN(),4),L!$A:$A,0)-1,SL,,)&amp;P28</f>
        <v>Gold  (*)</v>
      </c>
      <c r="C28" s="32"/>
      <c r="D28" s="327"/>
      <c r="E28" s="328"/>
      <c r="F28" s="11"/>
      <c r="G28" s="329"/>
      <c r="H28" s="330"/>
      <c r="I28" s="330"/>
      <c r="J28" s="331"/>
      <c r="K28" s="33"/>
      <c r="L28" s="113"/>
      <c r="P28" s="42" t="str">
        <f>IF(D$28="No","","(*)")</f>
        <v>(*)</v>
      </c>
      <c r="R28" s="2"/>
      <c r="S28" s="2"/>
      <c r="T28" s="2"/>
      <c r="U28" s="2"/>
      <c r="V28" s="2"/>
      <c r="W28" s="2"/>
      <c r="X28" s="2"/>
      <c r="Y28" s="2"/>
      <c r="Z28" s="2"/>
      <c r="AA28" s="2"/>
      <c r="AB28" s="2"/>
      <c r="AC28" s="2"/>
      <c r="AD28" s="2"/>
      <c r="AE28" s="2"/>
      <c r="AF28" s="2"/>
      <c r="AG28" s="2"/>
      <c r="AH28" s="2"/>
    </row>
    <row r="29" spans="1:34" ht="23">
      <c r="A29" s="38"/>
      <c r="B29" s="37" t="str">
        <f ca="1">OFFSET(L!$C$1,MATCH("Declaration"&amp;ADDRESS(ROW(),COLUMN(),4),L!$A:$A,0)-1,SL,,)&amp;P29</f>
        <v>Tungsten  (*)</v>
      </c>
      <c r="C29" s="32"/>
      <c r="D29" s="327"/>
      <c r="E29" s="328"/>
      <c r="F29" s="11"/>
      <c r="G29" s="329"/>
      <c r="H29" s="330"/>
      <c r="I29" s="330"/>
      <c r="J29" s="331"/>
      <c r="K29" s="33"/>
      <c r="L29" s="113"/>
      <c r="P29" s="42" t="str">
        <f>IF(D$29="No","","(*)")</f>
        <v>(*)</v>
      </c>
      <c r="R29" s="2"/>
      <c r="S29" s="2"/>
      <c r="T29" s="2"/>
      <c r="U29" s="2"/>
      <c r="V29" s="2"/>
      <c r="W29" s="2"/>
      <c r="X29" s="2"/>
      <c r="Y29" s="2"/>
      <c r="Z29" s="2"/>
      <c r="AA29" s="2"/>
      <c r="AB29" s="2"/>
      <c r="AC29" s="2"/>
      <c r="AD29" s="2"/>
      <c r="AE29" s="2"/>
      <c r="AF29" s="2"/>
      <c r="AG29" s="2"/>
      <c r="AH29" s="2"/>
    </row>
    <row r="30" spans="1:34" ht="17.5">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5" customHeight="1">
      <c r="A31" s="38"/>
      <c r="B31" s="41" t="str">
        <f ca="1">OFFSET(L!$C$1,MATCH("Declaration"&amp;ADDRESS(ROW(),COLUMN(),4),L!$A:$A,0)-1,SL,,)&amp;Q$37</f>
        <v>2) Does any 3TG remain in the product(s)? (*)</v>
      </c>
      <c r="C31" s="9"/>
      <c r="D31" s="336" t="str">
        <f ca="1">D25</f>
        <v>Answer</v>
      </c>
      <c r="E31" s="336"/>
      <c r="F31" s="17"/>
      <c r="G31" s="41" t="str">
        <f ca="1">G25</f>
        <v>Comments</v>
      </c>
      <c r="H31" s="41"/>
      <c r="I31" s="41"/>
      <c r="J31" s="80"/>
      <c r="K31" s="33"/>
      <c r="L31" s="108" t="s">
        <v>1197</v>
      </c>
      <c r="P31" s="42">
        <f>COUNTIF(D$26:D$29,"No")</f>
        <v>0</v>
      </c>
      <c r="Q31" s="42" t="str">
        <f>IF(P31=4,""," (*)")</f>
        <v xml:space="preserve"> (*)</v>
      </c>
      <c r="R31" s="2"/>
      <c r="S31" s="2"/>
      <c r="T31" s="2"/>
      <c r="U31" s="2"/>
      <c r="V31" s="2"/>
      <c r="W31" s="2"/>
      <c r="X31" s="2"/>
      <c r="Y31" s="2"/>
      <c r="Z31" s="2"/>
      <c r="AA31" s="2"/>
      <c r="AB31" s="2"/>
      <c r="AC31" s="2"/>
      <c r="AD31" s="2"/>
      <c r="AE31" s="2"/>
      <c r="AF31" s="2"/>
      <c r="AG31" s="2"/>
      <c r="AH31" s="2"/>
    </row>
    <row r="32" spans="1:34" ht="23">
      <c r="A32" s="38"/>
      <c r="B32" s="37" t="str">
        <f ca="1">B26</f>
        <v>Tantalum  (*)</v>
      </c>
      <c r="C32" s="9"/>
      <c r="D32" s="346"/>
      <c r="E32" s="347"/>
      <c r="F32" s="44"/>
      <c r="G32" s="329"/>
      <c r="H32" s="330"/>
      <c r="I32" s="330"/>
      <c r="J32" s="331"/>
      <c r="K32" s="33"/>
      <c r="L32" s="113"/>
      <c r="P32" s="42" t="str">
        <f>IF(D$32="No","","(*)")</f>
        <v>(*)</v>
      </c>
      <c r="Q32" s="2"/>
      <c r="R32" s="2"/>
      <c r="S32" s="2"/>
      <c r="T32" s="2"/>
      <c r="U32" s="2"/>
      <c r="V32" s="2"/>
      <c r="W32" s="2"/>
      <c r="X32" s="2"/>
      <c r="Y32" s="2"/>
      <c r="Z32" s="2"/>
      <c r="AA32" s="2"/>
      <c r="AB32" s="2"/>
      <c r="AC32" s="2"/>
      <c r="AD32" s="2"/>
      <c r="AE32" s="2"/>
      <c r="AF32" s="2"/>
      <c r="AG32" s="2"/>
      <c r="AH32" s="2"/>
    </row>
    <row r="33" spans="1:34" ht="23">
      <c r="A33" s="38"/>
      <c r="B33" s="37" t="str">
        <f ca="1">B27</f>
        <v>Tin  (*)</v>
      </c>
      <c r="C33" s="9"/>
      <c r="D33" s="327"/>
      <c r="E33" s="328"/>
      <c r="F33" s="44"/>
      <c r="G33" s="329"/>
      <c r="H33" s="330"/>
      <c r="I33" s="330"/>
      <c r="J33" s="331"/>
      <c r="K33" s="33"/>
      <c r="L33" s="113"/>
      <c r="P33" s="42" t="str">
        <f>IF(D$33="No","","(*)")</f>
        <v>(*)</v>
      </c>
      <c r="Q33" s="2"/>
      <c r="R33" s="2"/>
      <c r="S33" s="2"/>
      <c r="T33" s="2"/>
      <c r="U33" s="2"/>
      <c r="V33" s="2"/>
      <c r="W33" s="2"/>
      <c r="X33" s="2"/>
      <c r="Y33" s="2"/>
      <c r="Z33" s="2"/>
      <c r="AA33" s="2"/>
      <c r="AB33" s="2"/>
      <c r="AC33" s="2"/>
      <c r="AD33" s="2"/>
      <c r="AE33" s="2"/>
      <c r="AF33" s="2"/>
      <c r="AG33" s="2"/>
      <c r="AH33" s="2"/>
    </row>
    <row r="34" spans="1:34" ht="23">
      <c r="A34" s="38"/>
      <c r="B34" s="37" t="str">
        <f ca="1">B28</f>
        <v>Gold  (*)</v>
      </c>
      <c r="C34" s="9"/>
      <c r="D34" s="327"/>
      <c r="E34" s="328"/>
      <c r="F34" s="44"/>
      <c r="G34" s="329"/>
      <c r="H34" s="330"/>
      <c r="I34" s="330"/>
      <c r="J34" s="331"/>
      <c r="K34" s="33"/>
      <c r="L34" s="113"/>
      <c r="P34" s="42" t="str">
        <f>IF(D$34="No","","(*)")</f>
        <v>(*)</v>
      </c>
      <c r="Q34" s="2"/>
      <c r="R34" s="2"/>
      <c r="S34" s="2"/>
      <c r="T34" s="2"/>
      <c r="U34" s="2"/>
      <c r="V34" s="2"/>
      <c r="W34" s="2"/>
      <c r="X34" s="2"/>
      <c r="Y34" s="2"/>
      <c r="Z34" s="2"/>
      <c r="AA34" s="2"/>
      <c r="AB34" s="2"/>
      <c r="AC34" s="2"/>
      <c r="AD34" s="2"/>
      <c r="AE34" s="2"/>
      <c r="AF34" s="2"/>
      <c r="AG34" s="2"/>
      <c r="AH34" s="2"/>
    </row>
    <row r="35" spans="1:34" ht="23">
      <c r="A35" s="38"/>
      <c r="B35" s="37" t="str">
        <f ca="1">B29</f>
        <v>Tungsten  (*)</v>
      </c>
      <c r="C35" s="9"/>
      <c r="D35" s="327"/>
      <c r="E35" s="328"/>
      <c r="F35" s="44"/>
      <c r="G35" s="329"/>
      <c r="H35" s="330"/>
      <c r="I35" s="330"/>
      <c r="J35" s="331"/>
      <c r="K35" s="33"/>
      <c r="L35" s="113"/>
      <c r="P35" s="42" t="str">
        <f>IF(D$35="No","","(*)")</f>
        <v>(*)</v>
      </c>
      <c r="Q35" s="2"/>
      <c r="R35" s="2"/>
      <c r="S35" s="2"/>
      <c r="T35" s="2"/>
      <c r="U35" s="2"/>
      <c r="V35" s="2"/>
      <c r="W35" s="2"/>
      <c r="X35" s="2"/>
      <c r="Y35" s="2"/>
      <c r="Z35" s="2"/>
      <c r="AA35" s="2"/>
      <c r="AB35" s="2"/>
      <c r="AC35" s="2"/>
      <c r="AD35" s="2"/>
      <c r="AE35" s="2"/>
      <c r="AF35" s="2"/>
      <c r="AG35" s="2"/>
      <c r="AH35" s="2"/>
    </row>
    <row r="36" spans="1:34" ht="17.5">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5" customHeight="1">
      <c r="A37" s="38"/>
      <c r="B37" s="41" t="str">
        <f ca="1">OFFSET(L!$C$1,MATCH("Declaration"&amp;ADDRESS(ROW(),COLUMN(),4),L!$A:$A,0)-1,SL,,)&amp;Q$37</f>
        <v>3) Do any of the smelters in your supply chain source the 3TG from the covered countries? (SEC term, see definitions tab) (*)</v>
      </c>
      <c r="C37" s="9"/>
      <c r="D37" s="336" t="str">
        <f ca="1">D25</f>
        <v>Answer</v>
      </c>
      <c r="E37" s="336"/>
      <c r="F37" s="17"/>
      <c r="G37" s="41" t="str">
        <f ca="1">G25</f>
        <v>Comments</v>
      </c>
      <c r="H37" s="350"/>
      <c r="I37" s="350"/>
      <c r="J37" s="350"/>
      <c r="K37" s="33"/>
      <c r="L37" s="108" t="s">
        <v>1197</v>
      </c>
      <c r="P37" s="42">
        <f>COUNTIF(D$26:D$29,"No")+COUNTIF(D$32:D$35,"No")</f>
        <v>0</v>
      </c>
      <c r="Q37" s="42" t="str">
        <f>IF(P37&gt;3,""," (*)")</f>
        <v xml:space="preserve"> (*)</v>
      </c>
      <c r="R37" s="2"/>
      <c r="S37" s="2"/>
      <c r="T37" s="2"/>
      <c r="U37" s="2"/>
      <c r="V37" s="2"/>
      <c r="W37" s="2"/>
      <c r="X37" s="2"/>
      <c r="Y37" s="2"/>
      <c r="Z37" s="2"/>
      <c r="AA37" s="2"/>
      <c r="AB37" s="2"/>
      <c r="AC37" s="2"/>
      <c r="AD37" s="2"/>
      <c r="AE37" s="2"/>
      <c r="AF37" s="2"/>
      <c r="AG37" s="2"/>
      <c r="AH37" s="2"/>
    </row>
    <row r="38" spans="1:34" ht="23">
      <c r="A38" s="38"/>
      <c r="B38" s="37" t="str">
        <f ca="1">OFFSET(L!$C$1,MATCH("Declaration"&amp;ADDRESS(ROW(),COLUMN(),4),L!$A:$A,0)-1,SL,,)&amp;P38</f>
        <v>Tantalum  (*)</v>
      </c>
      <c r="C38" s="9"/>
      <c r="D38" s="327"/>
      <c r="E38" s="328"/>
      <c r="F38" s="44"/>
      <c r="G38" s="329"/>
      <c r="H38" s="330"/>
      <c r="I38" s="330"/>
      <c r="J38" s="331"/>
      <c r="K38" s="33"/>
      <c r="L38" s="113"/>
      <c r="P38" s="42" t="str">
        <f>IF((OR(D$26="No",D$32="No")),"","(*)")</f>
        <v>(*)</v>
      </c>
      <c r="Q38" s="2"/>
      <c r="R38" s="2"/>
      <c r="S38" s="2"/>
      <c r="T38" s="2"/>
      <c r="U38" s="2"/>
      <c r="V38" s="2"/>
      <c r="W38" s="2"/>
      <c r="X38" s="2"/>
      <c r="Y38" s="2"/>
      <c r="Z38" s="2"/>
      <c r="AA38" s="2"/>
      <c r="AB38" s="2"/>
      <c r="AC38" s="2"/>
      <c r="AD38" s="2"/>
      <c r="AE38" s="2"/>
      <c r="AF38" s="2"/>
      <c r="AG38" s="2"/>
    </row>
    <row r="39" spans="1:34" ht="23">
      <c r="A39" s="38"/>
      <c r="B39" s="37" t="str">
        <f ca="1">OFFSET(L!$C$1,MATCH("Declaration"&amp;ADDRESS(ROW(),COLUMN(),4),L!$A:$A,0)-1,SL,,)&amp;P39</f>
        <v>Tin  (*)</v>
      </c>
      <c r="C39" s="9"/>
      <c r="D39" s="327"/>
      <c r="E39" s="328"/>
      <c r="F39" s="44"/>
      <c r="G39" s="329"/>
      <c r="H39" s="330"/>
      <c r="I39" s="330"/>
      <c r="J39" s="331"/>
      <c r="K39" s="33"/>
      <c r="L39" s="113"/>
      <c r="P39" s="42" t="str">
        <f>IF((OR(D$27="No",D$33="No")),"","(*)")</f>
        <v>(*)</v>
      </c>
      <c r="Q39" s="2"/>
      <c r="R39" s="2"/>
      <c r="S39" s="2"/>
      <c r="T39" s="2"/>
      <c r="U39" s="2"/>
      <c r="V39" s="2"/>
      <c r="W39" s="2"/>
      <c r="X39" s="2"/>
      <c r="Y39" s="2"/>
      <c r="Z39" s="2"/>
      <c r="AA39" s="2"/>
      <c r="AB39" s="2"/>
      <c r="AC39" s="2"/>
      <c r="AD39" s="2"/>
      <c r="AE39" s="2"/>
      <c r="AF39" s="2"/>
      <c r="AG39" s="2"/>
    </row>
    <row r="40" spans="1:34" ht="23">
      <c r="A40" s="38"/>
      <c r="B40" s="37" t="str">
        <f ca="1">OFFSET(L!$C$1,MATCH("Declaration"&amp;ADDRESS(ROW(),COLUMN(),4),L!$A:$A,0)-1,SL,,)&amp;P40</f>
        <v>Gold  (*)</v>
      </c>
      <c r="C40" s="9"/>
      <c r="D40" s="327"/>
      <c r="E40" s="328"/>
      <c r="F40" s="44"/>
      <c r="G40" s="329"/>
      <c r="H40" s="330"/>
      <c r="I40" s="330"/>
      <c r="J40" s="331"/>
      <c r="K40" s="33"/>
      <c r="L40" s="113"/>
      <c r="P40" s="42" t="str">
        <f>IF((OR(D$28="No",D$34="No")),"","(*)")</f>
        <v>(*)</v>
      </c>
      <c r="Q40" s="2"/>
      <c r="R40" s="2"/>
      <c r="S40" s="2"/>
      <c r="T40" s="2"/>
      <c r="U40" s="2"/>
      <c r="V40" s="2"/>
      <c r="W40" s="2"/>
      <c r="X40" s="2"/>
      <c r="Y40" s="2"/>
      <c r="Z40" s="2"/>
      <c r="AA40" s="2"/>
      <c r="AB40" s="2"/>
      <c r="AC40" s="2"/>
      <c r="AD40" s="2"/>
      <c r="AE40" s="2"/>
      <c r="AF40" s="2"/>
      <c r="AG40" s="2"/>
    </row>
    <row r="41" spans="1:34" ht="23">
      <c r="A41" s="38"/>
      <c r="B41" s="37" t="str">
        <f ca="1">OFFSET(L!$C$1,MATCH("Declaration"&amp;ADDRESS(ROW(),COLUMN(),4),L!$A:$A,0)-1,SL,,)&amp;P41</f>
        <v>Tungsten  (*)</v>
      </c>
      <c r="C41" s="9"/>
      <c r="D41" s="327"/>
      <c r="E41" s="328"/>
      <c r="F41" s="44"/>
      <c r="G41" s="329"/>
      <c r="H41" s="330"/>
      <c r="I41" s="330"/>
      <c r="J41" s="331"/>
      <c r="K41" s="33"/>
      <c r="L41" s="113"/>
      <c r="P41" s="42" t="str">
        <f>IF((OR(D$29="No",D$35="No")),"","(*)")</f>
        <v>(*)</v>
      </c>
      <c r="Q41" s="2"/>
      <c r="R41" s="2"/>
      <c r="S41" s="2"/>
      <c r="T41" s="2"/>
      <c r="U41" s="2"/>
      <c r="V41" s="2"/>
      <c r="W41" s="2"/>
      <c r="X41" s="2"/>
      <c r="Y41" s="2"/>
      <c r="Z41" s="2"/>
      <c r="AA41" s="2"/>
      <c r="AB41" s="2"/>
      <c r="AC41" s="2"/>
      <c r="AD41" s="2"/>
      <c r="AE41" s="2"/>
      <c r="AF41" s="2"/>
      <c r="AG41" s="2"/>
    </row>
    <row r="42" spans="1:34" ht="17.5">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5" customHeight="1">
      <c r="A43" s="38"/>
      <c r="B43" s="41" t="str">
        <f ca="1">OFFSET(L!$C$1,MATCH("Declaration"&amp;ADDRESS(ROW(),COLUMN(),4),L!$A:$A,0)-1,SL,,)&amp;Q$37</f>
        <v>4) Do any of the smelters in your supply chain source the 3TG from conflict-affected and high-risk areas? (*)</v>
      </c>
      <c r="C43" s="9"/>
      <c r="D43" s="336" t="str">
        <f ca="1">D25</f>
        <v>Answer</v>
      </c>
      <c r="E43" s="336"/>
      <c r="F43" s="17"/>
      <c r="G43" s="41" t="str">
        <f ca="1">G25</f>
        <v>Comments</v>
      </c>
      <c r="H43" s="41"/>
      <c r="I43" s="41"/>
      <c r="J43" s="80"/>
      <c r="K43" s="33"/>
      <c r="L43" s="108"/>
      <c r="P43" s="42">
        <f>COUNTIF(D$26:D$29,"No")+COUNTIF(D$32:D$35,"No")</f>
        <v>0</v>
      </c>
      <c r="Q43" s="42" t="str">
        <f>IF(P43&gt;3,""," (*)")</f>
        <v xml:space="preserve"> (*)</v>
      </c>
      <c r="R43" s="2"/>
      <c r="S43" s="2"/>
      <c r="T43" s="2"/>
      <c r="U43" s="2"/>
      <c r="V43" s="2"/>
      <c r="W43" s="2"/>
      <c r="X43" s="2"/>
      <c r="Y43" s="2"/>
      <c r="Z43" s="2"/>
      <c r="AA43" s="2"/>
      <c r="AB43" s="2"/>
      <c r="AC43" s="2"/>
      <c r="AD43" s="2"/>
      <c r="AE43" s="2"/>
      <c r="AF43" s="2"/>
      <c r="AG43" s="2"/>
      <c r="AH43" s="2"/>
    </row>
    <row r="44" spans="1:34" ht="23.15" customHeight="1">
      <c r="A44" s="38"/>
      <c r="B44" s="37" t="str">
        <f ca="1">OFFSET(L!$C$1,MATCH("Declaration"&amp;ADDRESS(ROW(),COLUMN(),4),L!$A:$A,0)-1,SL,,)&amp;P44</f>
        <v>Tantalum  (*)</v>
      </c>
      <c r="C44" s="9"/>
      <c r="D44" s="327"/>
      <c r="E44" s="328"/>
      <c r="F44" s="44"/>
      <c r="G44" s="329"/>
      <c r="H44" s="330"/>
      <c r="I44" s="330"/>
      <c r="J44" s="331"/>
      <c r="K44" s="33"/>
      <c r="L44" s="108"/>
      <c r="P44" s="42" t="str">
        <f>IF((OR(D$26="No",D$32="No")),"","(*)")</f>
        <v>(*)</v>
      </c>
      <c r="Q44" s="2"/>
      <c r="R44" s="2"/>
      <c r="S44" s="2"/>
      <c r="T44" s="2"/>
      <c r="U44" s="2"/>
      <c r="V44" s="2"/>
      <c r="W44" s="2"/>
      <c r="X44" s="2"/>
      <c r="Y44" s="2"/>
      <c r="Z44" s="2"/>
      <c r="AA44" s="2"/>
      <c r="AB44" s="2"/>
      <c r="AC44" s="2"/>
      <c r="AD44" s="2"/>
      <c r="AE44" s="2"/>
      <c r="AF44" s="2"/>
      <c r="AG44" s="2"/>
      <c r="AH44" s="2"/>
    </row>
    <row r="45" spans="1:34" ht="23.15" customHeight="1">
      <c r="A45" s="38"/>
      <c r="B45" s="37" t="str">
        <f ca="1">OFFSET(L!$C$1,MATCH("Declaration"&amp;ADDRESS(ROW(),COLUMN(),4),L!$A:$A,0)-1,SL,,)&amp;P45</f>
        <v>Tin  (*)</v>
      </c>
      <c r="C45" s="9"/>
      <c r="D45" s="327"/>
      <c r="E45" s="328"/>
      <c r="F45" s="44"/>
      <c r="G45" s="329"/>
      <c r="H45" s="330"/>
      <c r="I45" s="330"/>
      <c r="J45" s="331"/>
      <c r="K45" s="33"/>
      <c r="L45" s="108"/>
      <c r="P45" s="42" t="str">
        <f>IF((OR(D$27="No",D$33="No")),"","(*)")</f>
        <v>(*)</v>
      </c>
      <c r="Q45" s="2"/>
      <c r="R45" s="2"/>
      <c r="S45" s="2"/>
      <c r="T45" s="2"/>
      <c r="U45" s="2"/>
      <c r="V45" s="2"/>
      <c r="W45" s="2"/>
      <c r="X45" s="2"/>
      <c r="Y45" s="2"/>
      <c r="Z45" s="2"/>
      <c r="AA45" s="2"/>
      <c r="AB45" s="2"/>
      <c r="AC45" s="2"/>
      <c r="AD45" s="2"/>
      <c r="AE45" s="2"/>
      <c r="AF45" s="2"/>
      <c r="AG45" s="2"/>
      <c r="AH45" s="2"/>
    </row>
    <row r="46" spans="1:34" ht="23.15" customHeight="1">
      <c r="A46" s="38"/>
      <c r="B46" s="37" t="str">
        <f ca="1">OFFSET(L!$C$1,MATCH("Declaration"&amp;ADDRESS(ROW(),COLUMN(),4),L!$A:$A,0)-1,SL,,)&amp;P46</f>
        <v>Gold  (*)</v>
      </c>
      <c r="C46" s="9"/>
      <c r="D46" s="327"/>
      <c r="E46" s="328"/>
      <c r="F46" s="44"/>
      <c r="G46" s="329"/>
      <c r="H46" s="330"/>
      <c r="I46" s="330"/>
      <c r="J46" s="331"/>
      <c r="K46" s="33"/>
      <c r="L46" s="108"/>
      <c r="P46" s="42" t="str">
        <f>IF((OR(D$28="No",D$34="No")),"","(*)")</f>
        <v>(*)</v>
      </c>
      <c r="Q46" s="2"/>
      <c r="R46" s="2"/>
      <c r="S46" s="2"/>
      <c r="T46" s="2"/>
      <c r="U46" s="2"/>
      <c r="V46" s="2"/>
      <c r="W46" s="2"/>
      <c r="X46" s="2"/>
      <c r="Y46" s="2"/>
      <c r="Z46" s="2"/>
      <c r="AA46" s="2"/>
      <c r="AB46" s="2"/>
      <c r="AC46" s="2"/>
      <c r="AD46" s="2"/>
      <c r="AE46" s="2"/>
      <c r="AF46" s="2"/>
      <c r="AG46" s="2"/>
      <c r="AH46" s="2"/>
    </row>
    <row r="47" spans="1:34" ht="23.15" customHeight="1">
      <c r="A47" s="38"/>
      <c r="B47" s="37" t="str">
        <f ca="1">OFFSET(L!$C$1,MATCH("Declaration"&amp;ADDRESS(ROW(),COLUMN(),4),L!$A:$A,0)-1,SL,,)&amp;P47</f>
        <v>Tungsten  (*)</v>
      </c>
      <c r="C47" s="9"/>
      <c r="D47" s="327"/>
      <c r="E47" s="328"/>
      <c r="F47" s="44"/>
      <c r="G47" s="329"/>
      <c r="H47" s="330"/>
      <c r="I47" s="330"/>
      <c r="J47" s="331"/>
      <c r="K47" s="33"/>
      <c r="L47" s="108"/>
      <c r="P47" s="42" t="str">
        <f>IF((OR(D$29="No",D$35="No")),"","(*)")</f>
        <v>(*)</v>
      </c>
      <c r="Q47" s="2"/>
      <c r="R47" s="2"/>
      <c r="S47" s="2"/>
      <c r="T47" s="2"/>
      <c r="U47" s="2"/>
      <c r="V47" s="2"/>
      <c r="W47" s="2"/>
      <c r="X47" s="2"/>
      <c r="Y47" s="2"/>
      <c r="Z47" s="2"/>
      <c r="AA47" s="2"/>
      <c r="AB47" s="2"/>
      <c r="AC47" s="2"/>
      <c r="AD47" s="2"/>
      <c r="AE47" s="2"/>
      <c r="AF47" s="2"/>
      <c r="AG47" s="2"/>
      <c r="AH47" s="2"/>
    </row>
    <row r="48" spans="1:34" ht="23.15"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5" customHeight="1">
      <c r="A49" s="38"/>
      <c r="B49" s="41" t="str">
        <f ca="1">OFFSET(L!$C$1,MATCH("Declaration"&amp;ADDRESS(ROW(),COLUMN(),4),L!$A:$A,0)-1,SL,,)&amp;Q$37</f>
        <v>5) Does 100 percent of the 3TG (necessary to the functionality or production of your products) originate from recycled or scrap sources?  (*)</v>
      </c>
      <c r="C49" s="9"/>
      <c r="D49" s="336" t="str">
        <f ca="1">D25</f>
        <v>Answer</v>
      </c>
      <c r="E49" s="33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3">
      <c r="A50" s="38"/>
      <c r="B50" s="37" t="str">
        <f ca="1">B38</f>
        <v>Tantalum  (*)</v>
      </c>
      <c r="C50" s="9"/>
      <c r="D50" s="327"/>
      <c r="E50" s="328"/>
      <c r="F50" s="44"/>
      <c r="G50" s="329"/>
      <c r="H50" s="330"/>
      <c r="I50" s="330"/>
      <c r="J50" s="331"/>
      <c r="K50" s="33"/>
      <c r="L50" s="113"/>
      <c r="P50" s="2"/>
      <c r="Q50" s="2"/>
      <c r="R50" s="2"/>
      <c r="S50" s="2"/>
      <c r="T50" s="2"/>
      <c r="U50" s="2"/>
      <c r="V50" s="2"/>
      <c r="W50" s="2"/>
      <c r="X50" s="2"/>
      <c r="Y50" s="2"/>
      <c r="Z50" s="2"/>
      <c r="AA50" s="2"/>
      <c r="AB50" s="2"/>
      <c r="AC50" s="2"/>
      <c r="AD50" s="2"/>
      <c r="AE50" s="2"/>
      <c r="AF50" s="2"/>
      <c r="AG50" s="2"/>
      <c r="AH50" s="2"/>
    </row>
    <row r="51" spans="1:34" ht="23">
      <c r="A51" s="38"/>
      <c r="B51" s="37" t="str">
        <f ca="1">B39</f>
        <v>Tin  (*)</v>
      </c>
      <c r="C51" s="9"/>
      <c r="D51" s="327"/>
      <c r="E51" s="328"/>
      <c r="F51" s="44"/>
      <c r="G51" s="329"/>
      <c r="H51" s="330"/>
      <c r="I51" s="330"/>
      <c r="J51" s="331"/>
      <c r="K51" s="33"/>
      <c r="L51" s="113"/>
      <c r="P51" s="2"/>
      <c r="Q51" s="2"/>
      <c r="R51" s="2"/>
      <c r="S51" s="2"/>
      <c r="T51" s="2"/>
      <c r="U51" s="2"/>
      <c r="V51" s="2"/>
      <c r="W51" s="2"/>
      <c r="X51" s="2"/>
      <c r="Y51" s="2"/>
      <c r="Z51" s="2"/>
      <c r="AA51" s="2"/>
      <c r="AB51" s="2"/>
      <c r="AC51" s="2"/>
      <c r="AD51" s="2"/>
      <c r="AE51" s="2"/>
      <c r="AF51" s="2"/>
      <c r="AG51" s="2"/>
      <c r="AH51" s="2"/>
    </row>
    <row r="52" spans="1:34" ht="23">
      <c r="A52" s="38"/>
      <c r="B52" s="37" t="str">
        <f ca="1">B40</f>
        <v>Gold  (*)</v>
      </c>
      <c r="C52" s="9"/>
      <c r="D52" s="327"/>
      <c r="E52" s="328"/>
      <c r="F52" s="44"/>
      <c r="G52" s="329"/>
      <c r="H52" s="330"/>
      <c r="I52" s="330"/>
      <c r="J52" s="331"/>
      <c r="K52" s="33"/>
      <c r="L52" s="113"/>
      <c r="P52" s="2"/>
      <c r="Q52" s="2"/>
      <c r="R52" s="2"/>
      <c r="S52" s="2"/>
      <c r="T52" s="2"/>
      <c r="U52" s="2"/>
      <c r="V52" s="2"/>
      <c r="W52" s="2"/>
      <c r="X52" s="2"/>
      <c r="Y52" s="2"/>
      <c r="Z52" s="2"/>
      <c r="AA52" s="2"/>
      <c r="AB52" s="2"/>
      <c r="AC52" s="2"/>
      <c r="AD52" s="2"/>
      <c r="AE52" s="2"/>
      <c r="AF52" s="2"/>
      <c r="AG52" s="2"/>
      <c r="AH52" s="2"/>
    </row>
    <row r="53" spans="1:34" ht="23">
      <c r="A53" s="38"/>
      <c r="B53" s="37" t="str">
        <f ca="1">B41</f>
        <v>Tungsten  (*)</v>
      </c>
      <c r="C53" s="9"/>
      <c r="D53" s="327"/>
      <c r="E53" s="328"/>
      <c r="F53" s="44"/>
      <c r="G53" s="329"/>
      <c r="H53" s="330"/>
      <c r="I53" s="330"/>
      <c r="J53" s="331"/>
      <c r="K53" s="33"/>
      <c r="L53" s="113"/>
      <c r="P53" s="2"/>
      <c r="Q53" s="2"/>
      <c r="R53" s="2"/>
      <c r="S53" s="2"/>
      <c r="T53" s="2"/>
      <c r="U53" s="2"/>
      <c r="V53" s="2"/>
      <c r="W53" s="2"/>
      <c r="X53" s="2"/>
      <c r="Y53" s="2"/>
      <c r="Z53" s="2"/>
      <c r="AA53" s="2"/>
      <c r="AB53" s="2"/>
      <c r="AC53" s="2"/>
      <c r="AD53" s="2"/>
      <c r="AE53" s="2"/>
      <c r="AF53" s="2"/>
      <c r="AG53" s="2"/>
      <c r="AH53" s="2"/>
    </row>
    <row r="54" spans="1:34" ht="17.5">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5" customHeight="1">
      <c r="A55" s="38"/>
      <c r="B55" s="250" t="str">
        <f ca="1">OFFSET(L!$C$1,MATCH("Declaration"&amp;ADDRESS(ROW(),COLUMN(),4),L!$A:$A,0)-1,SL,,)&amp;Q$37</f>
        <v>6) What percentage of relevant suppliers have provided a response to your supply chain survey?  (*)</v>
      </c>
      <c r="C55" s="9"/>
      <c r="D55" s="336" t="str">
        <f ca="1">D25</f>
        <v>Answer</v>
      </c>
      <c r="E55" s="33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3">
      <c r="A56" s="38"/>
      <c r="B56" s="37" t="str">
        <f ca="1">B38</f>
        <v>Tantalum  (*)</v>
      </c>
      <c r="C56" s="32"/>
      <c r="D56" s="348"/>
      <c r="E56" s="349"/>
      <c r="F56" s="44"/>
      <c r="G56" s="329"/>
      <c r="H56" s="330"/>
      <c r="I56" s="330"/>
      <c r="J56" s="331"/>
      <c r="K56" s="33"/>
      <c r="L56" s="113"/>
      <c r="P56" s="2"/>
      <c r="Q56" s="2"/>
      <c r="R56" s="2"/>
      <c r="S56" s="2"/>
      <c r="T56" s="2"/>
      <c r="U56" s="2"/>
      <c r="V56" s="2"/>
      <c r="W56" s="2"/>
      <c r="X56" s="2"/>
      <c r="Y56" s="2"/>
      <c r="Z56" s="2"/>
      <c r="AA56" s="2"/>
      <c r="AB56" s="2"/>
      <c r="AC56" s="2"/>
      <c r="AD56" s="2"/>
      <c r="AE56" s="2"/>
      <c r="AF56" s="2"/>
      <c r="AG56" s="2"/>
      <c r="AH56" s="2"/>
    </row>
    <row r="57" spans="1:34" ht="23">
      <c r="A57" s="38"/>
      <c r="B57" s="37" t="str">
        <f ca="1">B39</f>
        <v>Tin  (*)</v>
      </c>
      <c r="C57" s="32"/>
      <c r="D57" s="348"/>
      <c r="E57" s="349"/>
      <c r="F57" s="44"/>
      <c r="G57" s="329"/>
      <c r="H57" s="330"/>
      <c r="I57" s="330"/>
      <c r="J57" s="331"/>
      <c r="K57" s="33"/>
      <c r="L57" s="113"/>
      <c r="P57" s="2"/>
      <c r="Q57" s="2"/>
      <c r="R57" s="2"/>
      <c r="S57" s="2"/>
      <c r="T57" s="2"/>
      <c r="U57" s="2"/>
      <c r="V57" s="2"/>
      <c r="W57" s="2"/>
      <c r="X57" s="2"/>
      <c r="Y57" s="2"/>
      <c r="Z57" s="2"/>
      <c r="AA57" s="2"/>
      <c r="AB57" s="2"/>
      <c r="AC57" s="2"/>
      <c r="AD57" s="2"/>
      <c r="AE57" s="2"/>
      <c r="AF57" s="2"/>
      <c r="AG57" s="2"/>
      <c r="AH57" s="2"/>
    </row>
    <row r="58" spans="1:34" ht="23">
      <c r="A58" s="38"/>
      <c r="B58" s="37" t="str">
        <f ca="1">B40</f>
        <v>Gold  (*)</v>
      </c>
      <c r="C58" s="32"/>
      <c r="D58" s="348"/>
      <c r="E58" s="349"/>
      <c r="F58" s="44"/>
      <c r="G58" s="329"/>
      <c r="H58" s="330"/>
      <c r="I58" s="330"/>
      <c r="J58" s="331"/>
      <c r="K58" s="33"/>
      <c r="L58" s="113"/>
      <c r="P58" s="2"/>
      <c r="Q58" s="2"/>
      <c r="R58" s="2"/>
      <c r="S58" s="2"/>
      <c r="T58" s="2"/>
      <c r="U58" s="2"/>
      <c r="V58" s="2"/>
      <c r="W58" s="2"/>
      <c r="X58" s="2"/>
      <c r="Y58" s="2"/>
      <c r="Z58" s="2"/>
      <c r="AA58" s="2"/>
      <c r="AB58" s="2"/>
      <c r="AC58" s="2"/>
      <c r="AD58" s="2"/>
      <c r="AE58" s="2"/>
      <c r="AF58" s="2"/>
      <c r="AG58" s="2"/>
      <c r="AH58" s="2"/>
    </row>
    <row r="59" spans="1:34" ht="23">
      <c r="A59" s="38"/>
      <c r="B59" s="37" t="str">
        <f ca="1">B41</f>
        <v>Tungsten  (*)</v>
      </c>
      <c r="C59" s="32"/>
      <c r="D59" s="348"/>
      <c r="E59" s="349"/>
      <c r="F59" s="44"/>
      <c r="G59" s="329"/>
      <c r="H59" s="330"/>
      <c r="I59" s="330"/>
      <c r="J59" s="331"/>
      <c r="K59" s="33"/>
      <c r="L59" s="113"/>
      <c r="P59" s="2"/>
      <c r="Q59" s="2"/>
      <c r="R59" s="2"/>
      <c r="S59" s="2"/>
      <c r="T59" s="2"/>
      <c r="U59" s="2"/>
      <c r="V59" s="2"/>
      <c r="W59" s="2"/>
      <c r="X59" s="2"/>
      <c r="Y59" s="2"/>
      <c r="Z59" s="2"/>
      <c r="AA59" s="2"/>
      <c r="AB59" s="2"/>
      <c r="AC59" s="2"/>
      <c r="AD59" s="2"/>
      <c r="AE59" s="2"/>
      <c r="AF59" s="2"/>
      <c r="AG59" s="2"/>
      <c r="AH59" s="2"/>
    </row>
    <row r="60" spans="1:34" ht="1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5" customHeight="1">
      <c r="A61" s="38"/>
      <c r="B61" s="250" t="str">
        <f ca="1">OFFSET(L!$C$1,MATCH("Declaration"&amp;ADDRESS(ROW(),COLUMN(),4),L!$A:$A,0)-1,SL,,)&amp;Q$37</f>
        <v>7) Have you identified all of the smelters supplying the 3TG to your supply chain?  (*)</v>
      </c>
      <c r="C61" s="9"/>
      <c r="D61" s="336" t="str">
        <f ca="1">D25</f>
        <v>Answer</v>
      </c>
      <c r="E61" s="33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3">
      <c r="A62" s="38"/>
      <c r="B62" s="37" t="str">
        <f ca="1">B38</f>
        <v>Tantalum  (*)</v>
      </c>
      <c r="C62" s="9"/>
      <c r="D62" s="346"/>
      <c r="E62" s="347"/>
      <c r="F62" s="44"/>
      <c r="G62" s="329"/>
      <c r="H62" s="330"/>
      <c r="I62" s="330"/>
      <c r="J62" s="331"/>
      <c r="K62" s="33"/>
      <c r="L62" s="113"/>
      <c r="P62" s="2"/>
      <c r="Q62" s="2"/>
      <c r="R62" s="2"/>
      <c r="S62" s="2"/>
      <c r="T62" s="2"/>
      <c r="U62" s="2"/>
      <c r="V62" s="2"/>
      <c r="W62" s="2"/>
      <c r="X62" s="2"/>
      <c r="Y62" s="2"/>
      <c r="Z62" s="2"/>
      <c r="AA62" s="2"/>
      <c r="AB62" s="2"/>
      <c r="AC62" s="2"/>
      <c r="AD62" s="2"/>
      <c r="AE62" s="2"/>
      <c r="AF62" s="2"/>
      <c r="AG62" s="2"/>
      <c r="AH62" s="2"/>
    </row>
    <row r="63" spans="1:34" ht="23">
      <c r="A63" s="38"/>
      <c r="B63" s="37" t="str">
        <f ca="1">B39</f>
        <v>Tin  (*)</v>
      </c>
      <c r="C63" s="9"/>
      <c r="D63" s="327"/>
      <c r="E63" s="328"/>
      <c r="F63" s="44"/>
      <c r="G63" s="329"/>
      <c r="H63" s="330"/>
      <c r="I63" s="330"/>
      <c r="J63" s="331"/>
      <c r="K63" s="33"/>
      <c r="L63" s="113"/>
      <c r="P63" s="2"/>
      <c r="Q63" s="2"/>
      <c r="R63" s="2"/>
      <c r="S63" s="2"/>
      <c r="T63" s="2"/>
      <c r="U63" s="2"/>
      <c r="V63" s="2"/>
      <c r="W63" s="2"/>
      <c r="X63" s="2"/>
      <c r="Y63" s="2"/>
      <c r="Z63" s="2"/>
      <c r="AA63" s="2"/>
      <c r="AB63" s="2"/>
      <c r="AC63" s="2"/>
      <c r="AD63" s="2"/>
      <c r="AE63" s="2"/>
      <c r="AF63" s="2"/>
      <c r="AG63" s="2"/>
      <c r="AH63" s="2"/>
    </row>
    <row r="64" spans="1:34" ht="23">
      <c r="A64" s="38"/>
      <c r="B64" s="37" t="str">
        <f ca="1">B40</f>
        <v>Gold  (*)</v>
      </c>
      <c r="C64" s="9"/>
      <c r="D64" s="327"/>
      <c r="E64" s="328"/>
      <c r="F64" s="44"/>
      <c r="G64" s="329"/>
      <c r="H64" s="330"/>
      <c r="I64" s="330"/>
      <c r="J64" s="331"/>
      <c r="K64" s="33"/>
      <c r="L64" s="113"/>
      <c r="P64" s="2"/>
      <c r="Q64" s="2"/>
      <c r="R64" s="2"/>
      <c r="S64" s="2"/>
      <c r="T64" s="2"/>
      <c r="U64" s="2"/>
      <c r="V64" s="2"/>
      <c r="W64" s="2"/>
      <c r="X64" s="2"/>
      <c r="Y64" s="2"/>
      <c r="Z64" s="2"/>
      <c r="AA64" s="2"/>
      <c r="AB64" s="2"/>
      <c r="AC64" s="2"/>
      <c r="AD64" s="2"/>
      <c r="AE64" s="2"/>
      <c r="AF64" s="2"/>
      <c r="AG64" s="2"/>
      <c r="AH64" s="2"/>
    </row>
    <row r="65" spans="1:34" ht="23">
      <c r="A65" s="38"/>
      <c r="B65" s="37" t="str">
        <f ca="1">B41</f>
        <v>Tungsten  (*)</v>
      </c>
      <c r="C65" s="9"/>
      <c r="D65" s="327"/>
      <c r="E65" s="328"/>
      <c r="F65" s="44"/>
      <c r="G65" s="329"/>
      <c r="H65" s="330"/>
      <c r="I65" s="330"/>
      <c r="J65" s="331"/>
      <c r="K65" s="33"/>
      <c r="L65" s="113"/>
      <c r="P65" s="2"/>
      <c r="Q65" s="2"/>
      <c r="R65" s="2"/>
      <c r="S65" s="2"/>
      <c r="T65" s="2"/>
      <c r="U65" s="2"/>
      <c r="V65" s="2"/>
      <c r="W65" s="2"/>
      <c r="X65" s="2"/>
      <c r="Y65" s="2"/>
      <c r="Z65" s="2"/>
      <c r="AA65" s="2"/>
      <c r="AB65" s="2"/>
      <c r="AC65" s="2"/>
      <c r="AD65" s="2"/>
      <c r="AE65" s="2"/>
      <c r="AF65" s="2"/>
      <c r="AG65" s="2"/>
      <c r="AH65" s="2"/>
    </row>
    <row r="66" spans="1:34" ht="1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5" customHeight="1">
      <c r="A67" s="38"/>
      <c r="B67" s="41" t="str">
        <f ca="1">OFFSET(L!$C$1,MATCH("Declaration"&amp;ADDRESS(ROW(),COLUMN(),4),L!$A:$A,0)-1,SL,,)&amp;Q$37</f>
        <v>8) Has all applicable smelter information received by your company been reported in this declaration?  (*)</v>
      </c>
      <c r="C67" s="9"/>
      <c r="D67" s="336" t="str">
        <f ca="1">D25</f>
        <v>Answer</v>
      </c>
      <c r="E67" s="33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3">
      <c r="A68" s="38"/>
      <c r="B68" s="37" t="str">
        <f ca="1">B38</f>
        <v>Tantalum  (*)</v>
      </c>
      <c r="C68" s="32"/>
      <c r="D68" s="327"/>
      <c r="E68" s="328"/>
      <c r="F68" s="45"/>
      <c r="G68" s="329"/>
      <c r="H68" s="330"/>
      <c r="I68" s="330"/>
      <c r="J68" s="331"/>
      <c r="K68" s="33"/>
      <c r="L68" s="113"/>
      <c r="P68" s="2"/>
      <c r="Q68" s="2"/>
      <c r="R68" s="2"/>
      <c r="S68" s="2"/>
      <c r="T68" s="2"/>
      <c r="U68" s="2"/>
      <c r="V68" s="2"/>
      <c r="W68" s="2"/>
      <c r="X68" s="2"/>
      <c r="Y68" s="2"/>
      <c r="Z68" s="2"/>
      <c r="AA68" s="2"/>
      <c r="AB68" s="2"/>
      <c r="AC68" s="2"/>
      <c r="AD68" s="2"/>
      <c r="AE68" s="2"/>
      <c r="AF68" s="2"/>
      <c r="AG68" s="2"/>
      <c r="AH68" s="2"/>
    </row>
    <row r="69" spans="1:34" ht="23">
      <c r="A69" s="38"/>
      <c r="B69" s="37" t="str">
        <f ca="1">B39</f>
        <v>Tin  (*)</v>
      </c>
      <c r="C69" s="32"/>
      <c r="D69" s="327"/>
      <c r="E69" s="328"/>
      <c r="F69" s="45"/>
      <c r="G69" s="329"/>
      <c r="H69" s="330"/>
      <c r="I69" s="330"/>
      <c r="J69" s="331"/>
      <c r="K69" s="33"/>
      <c r="L69" s="113"/>
      <c r="P69" s="2"/>
      <c r="Q69" s="2"/>
      <c r="R69" s="2"/>
      <c r="S69" s="2"/>
      <c r="T69" s="2"/>
      <c r="U69" s="2"/>
      <c r="V69" s="2"/>
      <c r="W69" s="2"/>
      <c r="X69" s="2"/>
      <c r="Y69" s="2"/>
      <c r="Z69" s="2"/>
      <c r="AA69" s="2"/>
      <c r="AB69" s="2"/>
      <c r="AC69" s="2"/>
      <c r="AD69" s="2"/>
      <c r="AE69" s="2"/>
      <c r="AF69" s="2"/>
      <c r="AG69" s="2"/>
      <c r="AH69" s="2"/>
    </row>
    <row r="70" spans="1:34" ht="23">
      <c r="A70" s="38"/>
      <c r="B70" s="37" t="str">
        <f ca="1">B40</f>
        <v>Gold  (*)</v>
      </c>
      <c r="C70" s="32"/>
      <c r="D70" s="327"/>
      <c r="E70" s="328"/>
      <c r="F70" s="45"/>
      <c r="G70" s="329"/>
      <c r="H70" s="330"/>
      <c r="I70" s="330"/>
      <c r="J70" s="331"/>
      <c r="K70" s="33"/>
      <c r="L70" s="113"/>
      <c r="P70" s="2"/>
      <c r="Q70" s="2"/>
      <c r="R70" s="2"/>
      <c r="S70" s="2"/>
      <c r="T70" s="2"/>
      <c r="U70" s="2"/>
      <c r="V70" s="2"/>
      <c r="W70" s="2"/>
      <c r="X70" s="2"/>
      <c r="Y70" s="2"/>
      <c r="Z70" s="2"/>
      <c r="AA70" s="2"/>
      <c r="AB70" s="2"/>
      <c r="AC70" s="2"/>
      <c r="AD70" s="2"/>
      <c r="AE70" s="2"/>
      <c r="AF70" s="2"/>
      <c r="AG70" s="2"/>
      <c r="AH70" s="2"/>
    </row>
    <row r="71" spans="1:34" ht="23">
      <c r="A71" s="35"/>
      <c r="B71" s="37" t="str">
        <f ca="1">B41</f>
        <v>Tungsten  (*)</v>
      </c>
      <c r="C71" s="46"/>
      <c r="D71" s="327"/>
      <c r="E71" s="328"/>
      <c r="F71" s="47"/>
      <c r="G71" s="329"/>
      <c r="H71" s="330"/>
      <c r="I71" s="330"/>
      <c r="J71" s="33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2" t="str">
        <f ca="1">OFFSET(L!$C$1,MATCH("Declaration"&amp;ADDRESS(ROW(),COLUMN(),4),L!$A:$A,0)-1,SL,,)</f>
        <v>Answer the Following Questions at a Company Level</v>
      </c>
      <c r="C73" s="332"/>
      <c r="D73" s="332"/>
      <c r="E73" s="332"/>
      <c r="F73" s="332"/>
      <c r="G73" s="332"/>
      <c r="H73" s="332"/>
      <c r="I73" s="332"/>
      <c r="J73" s="332"/>
      <c r="K73" s="33"/>
      <c r="L73" s="97"/>
      <c r="P73" s="2"/>
      <c r="Q73" s="2"/>
      <c r="R73" s="2"/>
      <c r="S73" s="2"/>
      <c r="T73" s="2"/>
      <c r="U73" s="2"/>
      <c r="V73" s="2"/>
      <c r="W73" s="2"/>
      <c r="X73" s="2"/>
      <c r="Y73" s="2"/>
      <c r="Z73" s="2"/>
      <c r="AA73" s="2"/>
      <c r="AB73" s="2"/>
      <c r="AC73" s="2"/>
      <c r="AD73" s="2"/>
      <c r="AE73" s="2"/>
      <c r="AF73" s="2"/>
      <c r="AG73" s="2"/>
      <c r="AH73" s="2"/>
    </row>
    <row r="74" spans="1:34" ht="15">
      <c r="A74" s="48"/>
      <c r="B74" s="49" t="str">
        <f ca="1">OFFSET(L!$C$1,MATCH("Declaration"&amp;ADDRESS(ROW(),COLUMN(),4),L!$A:$A,0)-1,SL,,)</f>
        <v>Question</v>
      </c>
      <c r="C74" s="78"/>
      <c r="D74" s="334" t="str">
        <f ca="1">D25</f>
        <v>Answer</v>
      </c>
      <c r="E74" s="334"/>
      <c r="F74" s="50"/>
      <c r="G74" s="334" t="str">
        <f ca="1">G25</f>
        <v>Comments</v>
      </c>
      <c r="H74" s="334" t="e">
        <f>HLOOKUP(SL,LT,$O74,0)</f>
        <v>#NAME?</v>
      </c>
      <c r="I74" s="33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c r="E75" s="328"/>
      <c r="F75" s="54"/>
      <c r="G75" s="329"/>
      <c r="H75" s="330"/>
      <c r="I75" s="330"/>
      <c r="J75" s="331"/>
      <c r="K75" s="33"/>
      <c r="L75" s="110" t="s">
        <v>1196</v>
      </c>
      <c r="M75" s="109"/>
      <c r="P75" s="2"/>
      <c r="Q75" s="2"/>
      <c r="R75" s="2"/>
      <c r="S75" s="2"/>
      <c r="T75" s="2"/>
      <c r="U75" s="2"/>
      <c r="V75" s="2"/>
      <c r="W75" s="2"/>
      <c r="X75" s="2"/>
      <c r="Y75" s="2"/>
      <c r="Z75" s="2"/>
      <c r="AA75" s="2"/>
      <c r="AB75" s="2"/>
      <c r="AC75" s="2"/>
      <c r="AD75" s="2"/>
      <c r="AE75" s="2"/>
      <c r="AF75" s="2"/>
      <c r="AG75" s="2"/>
      <c r="AH75" s="2"/>
    </row>
    <row r="76" spans="1:34" ht="15">
      <c r="A76" s="38"/>
      <c r="B76" s="55"/>
      <c r="C76" s="11"/>
      <c r="D76" s="1"/>
      <c r="E76" s="1"/>
      <c r="F76" s="11"/>
      <c r="G76" s="335"/>
      <c r="H76" s="335"/>
      <c r="I76" s="335"/>
      <c r="J76" s="335"/>
      <c r="K76" s="33"/>
      <c r="L76" s="110"/>
      <c r="M76" s="109"/>
      <c r="P76" s="2"/>
      <c r="Q76" s="2"/>
      <c r="R76" s="2"/>
      <c r="S76" s="2"/>
      <c r="T76" s="2"/>
      <c r="U76" s="2"/>
      <c r="V76" s="2"/>
      <c r="W76" s="2"/>
      <c r="X76" s="2"/>
      <c r="Y76" s="2"/>
      <c r="Z76" s="2"/>
      <c r="AA76" s="2"/>
      <c r="AB76" s="2"/>
      <c r="AC76" s="2"/>
      <c r="AD76" s="2"/>
      <c r="AE76" s="2"/>
      <c r="AF76" s="2"/>
      <c r="AG76" s="2"/>
      <c r="AH76" s="2"/>
    </row>
    <row r="77" spans="1:34" ht="49.4"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c r="E77" s="328"/>
      <c r="F77" s="54"/>
      <c r="G77" s="355"/>
      <c r="H77" s="356"/>
      <c r="I77" s="356"/>
      <c r="J77" s="357"/>
      <c r="K77" s="33"/>
      <c r="L77" s="110" t="s">
        <v>1197</v>
      </c>
      <c r="M77" s="109"/>
      <c r="P77" s="2"/>
      <c r="Q77" s="2"/>
      <c r="R77" s="2"/>
      <c r="S77" s="2"/>
      <c r="T77" s="2"/>
      <c r="U77" s="2"/>
      <c r="V77" s="2"/>
      <c r="W77" s="2"/>
      <c r="X77" s="2"/>
      <c r="Y77" s="2"/>
      <c r="Z77" s="2"/>
      <c r="AA77" s="2"/>
      <c r="AB77" s="2"/>
      <c r="AC77" s="2"/>
      <c r="AD77" s="2"/>
      <c r="AE77" s="2"/>
      <c r="AF77" s="2"/>
      <c r="AG77" s="2"/>
      <c r="AH77" s="2"/>
    </row>
    <row r="78" spans="1:34" ht="1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c r="E79" s="328"/>
      <c r="F79" s="54"/>
      <c r="G79" s="329"/>
      <c r="H79" s="330"/>
      <c r="I79" s="330"/>
      <c r="J79" s="331"/>
      <c r="K79" s="33"/>
      <c r="L79" s="110" t="s">
        <v>1197</v>
      </c>
      <c r="M79" s="109"/>
      <c r="P79" s="2"/>
      <c r="Q79" s="2"/>
      <c r="R79" s="2"/>
      <c r="S79" s="2"/>
      <c r="T79" s="2"/>
      <c r="U79" s="2"/>
      <c r="V79" s="2"/>
      <c r="W79" s="2"/>
      <c r="X79" s="2"/>
      <c r="Y79" s="2"/>
      <c r="Z79" s="2"/>
      <c r="AA79" s="2"/>
      <c r="AB79" s="2"/>
      <c r="AC79" s="2"/>
      <c r="AD79" s="2"/>
      <c r="AE79" s="2"/>
      <c r="AF79" s="2"/>
      <c r="AG79" s="2"/>
      <c r="AH79" s="2"/>
    </row>
    <row r="80" spans="1:34" ht="1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c r="E81" s="328"/>
      <c r="F81" s="54"/>
      <c r="G81" s="329"/>
      <c r="H81" s="330"/>
      <c r="I81" s="330"/>
      <c r="J81" s="331"/>
      <c r="K81" s="33"/>
      <c r="L81" s="110" t="s">
        <v>1256</v>
      </c>
      <c r="M81" s="109"/>
      <c r="P81" s="2"/>
      <c r="Q81" s="2"/>
      <c r="R81" s="2"/>
      <c r="S81" s="2"/>
      <c r="T81" s="2"/>
      <c r="U81" s="2"/>
      <c r="V81" s="2"/>
      <c r="W81" s="2"/>
      <c r="X81" s="2"/>
      <c r="Y81" s="2"/>
      <c r="Z81" s="2"/>
      <c r="AA81" s="2"/>
      <c r="AB81" s="2"/>
      <c r="AC81" s="2"/>
      <c r="AD81" s="2"/>
      <c r="AE81" s="2"/>
      <c r="AF81" s="2"/>
      <c r="AG81" s="2"/>
      <c r="AH81" s="2"/>
    </row>
    <row r="82" spans="1:34" ht="1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c r="E83" s="328"/>
      <c r="F83" s="54"/>
      <c r="G83" s="329"/>
      <c r="H83" s="330"/>
      <c r="I83" s="330"/>
      <c r="J83" s="33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0"/>
      <c r="E85" s="341"/>
      <c r="F85" s="54"/>
      <c r="G85" s="329"/>
      <c r="H85" s="330"/>
      <c r="I85" s="330"/>
      <c r="J85" s="331"/>
      <c r="K85" s="33"/>
      <c r="L85" s="110" t="s">
        <v>1197</v>
      </c>
      <c r="M85" s="109"/>
      <c r="P85" s="2"/>
      <c r="Q85" s="2"/>
      <c r="R85" s="2"/>
      <c r="S85" s="2"/>
      <c r="T85" s="2"/>
      <c r="U85" s="2"/>
      <c r="V85" s="2"/>
      <c r="W85" s="2"/>
      <c r="X85" s="2"/>
      <c r="Y85" s="2"/>
      <c r="Z85" s="2"/>
      <c r="AA85" s="2"/>
      <c r="AB85" s="2"/>
      <c r="AC85" s="2"/>
      <c r="AD85" s="2"/>
      <c r="AE85" s="2"/>
      <c r="AF85" s="2"/>
      <c r="AG85" s="2"/>
      <c r="AH85" s="2"/>
    </row>
    <row r="86" spans="1:34" ht="15">
      <c r="A86" s="38"/>
      <c r="B86" s="58"/>
      <c r="C86" s="11"/>
      <c r="D86" s="1"/>
      <c r="E86" s="1"/>
      <c r="F86" s="12"/>
      <c r="G86" s="335"/>
      <c r="H86" s="335"/>
      <c r="I86" s="335"/>
      <c r="J86" s="335"/>
      <c r="K86" s="33"/>
      <c r="L86" s="110"/>
      <c r="M86" s="109"/>
      <c r="P86" s="2"/>
      <c r="Q86" s="2"/>
      <c r="R86" s="2"/>
      <c r="S86" s="2"/>
      <c r="T86" s="2"/>
      <c r="U86" s="2"/>
      <c r="V86" s="2"/>
      <c r="W86" s="2"/>
      <c r="X86" s="2"/>
      <c r="Y86" s="2"/>
      <c r="Z86" s="2"/>
      <c r="AA86" s="2"/>
      <c r="AB86" s="2"/>
      <c r="AC86" s="2"/>
      <c r="AD86" s="2"/>
      <c r="AE86" s="2"/>
      <c r="AF86" s="2"/>
      <c r="AG86" s="2"/>
      <c r="AH86" s="2"/>
    </row>
    <row r="87" spans="1:34" ht="37.4" customHeight="1">
      <c r="A87" s="38"/>
      <c r="B87" s="53" t="str">
        <f ca="1">OFFSET(L!$C$1,MATCH("Declaration"&amp;ADDRESS(ROW(),COLUMN(),4),L!$A:$A,0)-1,SL,,)&amp;$Q$37</f>
        <v>G. Does your review process include corrective action management? (*)</v>
      </c>
      <c r="C87" s="54"/>
      <c r="D87" s="327"/>
      <c r="E87" s="328"/>
      <c r="F87" s="54"/>
      <c r="G87" s="329"/>
      <c r="H87" s="330"/>
      <c r="I87" s="330"/>
      <c r="J87" s="331"/>
      <c r="K87" s="33"/>
      <c r="L87" s="110" t="s">
        <v>1195</v>
      </c>
      <c r="M87" s="109"/>
      <c r="P87" s="2"/>
      <c r="Q87" s="2"/>
      <c r="R87" s="2"/>
      <c r="S87" s="2"/>
      <c r="T87" s="2"/>
      <c r="U87" s="2"/>
      <c r="V87" s="2"/>
      <c r="W87" s="2"/>
      <c r="X87" s="2"/>
      <c r="Y87" s="2"/>
      <c r="Z87" s="2"/>
      <c r="AA87" s="2"/>
      <c r="AB87" s="2"/>
      <c r="AC87" s="2"/>
      <c r="AD87" s="2"/>
      <c r="AE87" s="2"/>
      <c r="AF87" s="2"/>
      <c r="AG87" s="2"/>
      <c r="AH87" s="2"/>
    </row>
    <row r="88" spans="1:34" ht="15">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c r="E89" s="328"/>
      <c r="F89" s="54"/>
      <c r="G89" s="329"/>
      <c r="H89" s="330"/>
      <c r="I89" s="330"/>
      <c r="J89" s="33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39" t="str">
        <f>IF(OR($D$8="",$I$3=""),"","Click here to check required fields completion")</f>
        <v/>
      </c>
      <c r="C90" s="339"/>
      <c r="D90" s="339"/>
      <c r="E90" s="339"/>
      <c r="F90" s="339"/>
      <c r="G90" s="339"/>
      <c r="H90" s="339"/>
      <c r="I90" s="339"/>
      <c r="J90" s="339"/>
      <c r="K90" s="33"/>
      <c r="L90" s="97"/>
      <c r="P90" s="2"/>
      <c r="Q90" s="2"/>
      <c r="R90" s="2"/>
      <c r="S90" s="2"/>
      <c r="T90" s="2"/>
      <c r="U90" s="2"/>
      <c r="V90" s="2"/>
      <c r="W90" s="2"/>
      <c r="X90" s="2"/>
      <c r="Y90" s="2"/>
      <c r="Z90" s="2"/>
      <c r="AA90" s="2"/>
      <c r="AB90" s="2"/>
      <c r="AC90" s="2"/>
      <c r="AD90" s="2"/>
      <c r="AE90" s="2"/>
      <c r="AF90" s="2"/>
      <c r="AG90" s="2"/>
      <c r="AH90" s="2"/>
    </row>
    <row r="91" spans="1:34" ht="15.5" thickBot="1">
      <c r="A91" s="337" t="str">
        <f ca="1">OFFSET(L!$C$1,MATCH("General"&amp;"Cpy",L!$A:$A,0)-1,SL,,)</f>
        <v>© 2026 Responsible Minerals Initiative. All rights reserved.</v>
      </c>
      <c r="B91" s="338"/>
      <c r="C91" s="338"/>
      <c r="D91" s="338"/>
      <c r="E91" s="338"/>
      <c r="F91" s="338"/>
      <c r="G91" s="338"/>
      <c r="H91" s="338"/>
      <c r="I91" s="338"/>
      <c r="J91" s="338"/>
      <c r="K91" s="59"/>
      <c r="L91" s="97"/>
      <c r="P91" s="2"/>
      <c r="Q91" s="2"/>
      <c r="R91" s="2"/>
      <c r="S91" s="2"/>
      <c r="T91" s="2"/>
      <c r="U91" s="2"/>
      <c r="V91" s="2"/>
      <c r="W91" s="2"/>
      <c r="X91" s="2"/>
      <c r="Y91" s="2"/>
      <c r="Z91" s="2"/>
      <c r="AA91" s="2"/>
      <c r="AB91" s="2"/>
      <c r="AC91" s="2"/>
      <c r="AD91" s="2"/>
      <c r="AE91" s="2"/>
      <c r="AF91" s="2"/>
      <c r="AG91" s="2"/>
      <c r="AH91" s="2"/>
    </row>
    <row r="92" spans="1:34" ht="15.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Yes</v>
      </c>
    </row>
    <row r="103" spans="2:7" ht="15" hidden="1">
      <c r="B103" s="219" t="s">
        <v>2373</v>
      </c>
      <c r="D103" s="264" t="str">
        <f>IF(AND(OR($D$28="Yes",$D$28=""),OR($D$34="Yes",$D$34="")),"No","")</f>
        <v>No</v>
      </c>
      <c r="E103" s="264" t="str">
        <f>IF(AND(OR($D$27="Yes",$D$27=""),OR($D$33="Yes",$D$33="")),"Greater than 90%","")</f>
        <v>Greater than 90%</v>
      </c>
      <c r="G103" s="264" t="str">
        <f>IF(OR($D$29="Yes",$D$29=""),"No","")</f>
        <v>No</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Yes</v>
      </c>
      <c r="E105" s="264" t="str">
        <f>IF(AND(OR($D$27="Yes",$D$27=""),OR($D$33="Yes",$D$33="")),"Greater than 50%","")</f>
        <v>Greater than 50%</v>
      </c>
    </row>
    <row r="106" spans="2:7" ht="15" hidden="1">
      <c r="B106" s="219" t="s">
        <v>11949</v>
      </c>
      <c r="D106" s="264" t="str">
        <f>IF(AND(OR($D$29="Yes",$D$29=""),OR($D$35="Yes",$D$35="")),"No","")</f>
        <v>No</v>
      </c>
      <c r="E106" s="264" t="str">
        <f>IF(AND(OR($D$27="Yes",$D$27=""),OR($D$33="Yes",$D$33="")),"50% or less","")</f>
        <v>50% or less</v>
      </c>
    </row>
    <row r="107" spans="2:7" ht="15" hidden="1">
      <c r="B107" s="219" t="s">
        <v>474</v>
      </c>
      <c r="D107" s="264" t="str">
        <f>IF(AND(OR($D$29="Yes",$D$29=""),OR($D$35="Yes",$D$35="")),"Unknown","")</f>
        <v>Unknown</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s>
  <pageMargins left="0.70866141732283505" right="0.70866141732283505" top="0.74803149606299202" bottom="0.74803149606299202" header="0.31496062992126" footer="0.31496062992126"/>
  <pageSetup scale="41" fitToHeight="0" orientation="portrait" r:id="rId3"/>
  <rowBreaks count="1" manualBreakCount="1">
    <brk id="66" max="11"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4375" defaultRowHeight="13.5"/>
  <cols>
    <col min="1" max="1" width="13.61328125" style="210" customWidth="1"/>
    <col min="2" max="2" width="13.3828125" style="212" customWidth="1"/>
    <col min="3" max="3" width="40.61328125" style="212" customWidth="1"/>
    <col min="4" max="4" width="30.61328125" style="212" customWidth="1"/>
    <col min="5" max="5" width="20.84375" style="212" customWidth="1"/>
    <col min="6" max="7" width="13.84375" style="212" customWidth="1"/>
    <col min="8" max="8" width="25.15234375" style="212" customWidth="1"/>
    <col min="9" max="9" width="24.15234375" style="212" customWidth="1"/>
    <col min="10" max="10" width="18.3828125" style="212" customWidth="1"/>
    <col min="11" max="11" width="27.3828125" style="212" customWidth="1"/>
    <col min="12" max="12" width="20.61328125" style="212" customWidth="1"/>
    <col min="13" max="13" width="35.15234375" style="212" customWidth="1"/>
    <col min="14" max="14" width="42.15234375" style="212" customWidth="1"/>
    <col min="15" max="15" width="32.15234375" style="212" customWidth="1"/>
    <col min="16" max="16" width="22.84375" style="212" customWidth="1"/>
    <col min="17" max="17" width="43.61328125" style="212" customWidth="1"/>
    <col min="18" max="18" width="35.84375" style="212" hidden="1" customWidth="1"/>
    <col min="19" max="20" width="17.84375" style="212" hidden="1" customWidth="1"/>
    <col min="21" max="21" width="8.84375" style="212" hidden="1" customWidth="1"/>
    <col min="22" max="22" width="6.15234375" style="212" hidden="1" customWidth="1"/>
    <col min="23" max="23" width="8.61328125" style="212" hidden="1" customWidth="1"/>
    <col min="24" max="24" width="8.84375" style="212" hidden="1" customWidth="1"/>
    <col min="25" max="27" width="4.3828125" style="212" hidden="1" customWidth="1"/>
    <col min="28" max="28" width="7.84375" style="212" hidden="1" customWidth="1"/>
    <col min="29" max="33" width="4.3828125" style="212" hidden="1" customWidth="1"/>
    <col min="34" max="34" width="14.61328125" style="212" hidden="1" customWidth="1"/>
    <col min="35" max="39" width="8.84375" style="212" customWidth="1"/>
    <col min="40" max="16384" width="8.84375" style="212"/>
  </cols>
  <sheetData>
    <row r="1" spans="1:34" s="204" customFormat="1" ht="16"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49999999999999"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49999999999999"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49999999999999"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49999999999999"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49999999999999"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49999999999999"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49999999999999"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49999999999999"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49999999999999"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49999999999999"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49999999999999"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49999999999999"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49999999999999"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49999999999999"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4"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4C8030B-B8CB-4E94-9B40-AB02420B37C8}"/>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4375" defaultRowHeight="13.5"/>
  <cols>
    <col min="1" max="1" width="45.15234375" style="18" customWidth="1"/>
    <col min="2" max="2" width="42.84375" style="19" customWidth="1"/>
    <col min="3" max="3" width="51.61328125" style="18" customWidth="1"/>
    <col min="4" max="4" width="29.15234375" style="19" customWidth="1"/>
    <col min="5" max="5" width="9" style="18" customWidth="1"/>
    <col min="6" max="6" width="13.61328125" style="18" hidden="1" customWidth="1"/>
    <col min="7" max="7" width="13.3828125" style="18" hidden="1" customWidth="1"/>
    <col min="8" max="9" width="9" style="18" hidden="1" customWidth="1"/>
    <col min="10" max="10" width="48.84375" style="18" hidden="1" customWidth="1"/>
    <col min="11" max="11" width="9" style="18" hidden="1" customWidth="1"/>
    <col min="12" max="15" width="8.84375" style="18" hidden="1" customWidth="1"/>
    <col min="16" max="18" width="8.84375" style="18" customWidth="1"/>
    <col min="19" max="16384" width="8.843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Click here to return to Smelter List</v>
      </c>
      <c r="C2" s="118" t="str">
        <f>IF(F65=1,"Click here to return to Product List","")</f>
        <v>Click here to return to Product List</v>
      </c>
      <c r="D2" s="144">
        <f ca="1">IF(H70=0,"0",H70)</f>
        <v>52</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41">
      <c r="A4" s="87" t="str">
        <f ca="1">Declaration!B8</f>
        <v>Company Name (*):</v>
      </c>
      <c r="B4" s="86">
        <f>Declaration!D8</f>
        <v>0</v>
      </c>
      <c r="C4" s="86" t="str">
        <f t="shared" ref="C4" ca="1" si="0">IF(H4=1,J4,I4)</f>
        <v>Provide your company name on the Declaration tab cell D8</v>
      </c>
      <c r="D4" s="92" t="str">
        <f>IF(H4=1,"Click here to enter Company Name","")</f>
        <v>Click here to enter Company Name</v>
      </c>
      <c r="E4" s="19" t="s">
        <v>1261</v>
      </c>
      <c r="F4" s="90">
        <v>1</v>
      </c>
      <c r="G4" s="67">
        <f t="shared" ref="G4" si="1">IF(B4=0,1,0)</f>
        <v>1</v>
      </c>
      <c r="H4" s="68">
        <f>F4*G4</f>
        <v>1</v>
      </c>
      <c r="I4" s="142" t="str">
        <f ca="1">OFFSET(L!$C$1,MATCH("Checker"&amp;"Comp",L!$A:$A,0)-1,SL,,)</f>
        <v>Complete</v>
      </c>
      <c r="J4" s="143" t="str">
        <f ca="1">OFFSET(L!$C$1,MATCH("Checker"&amp;ADDRESS(ROW(),COLUMN(),4),L!$A:$A,0)-1,SL,,)</f>
        <v>Provide your company name on the Declaration tab cell D8</v>
      </c>
    </row>
    <row r="5" spans="1:10" ht="41">
      <c r="A5" s="87" t="str">
        <f ca="1">Declaration!B9</f>
        <v>Declaration Scope or Class (*):</v>
      </c>
      <c r="B5" s="86">
        <f>Declaration!D9</f>
        <v>0</v>
      </c>
      <c r="C5" s="86" t="str">
        <f ca="1">IF(H5=1,J5,I5)</f>
        <v>Select the scope of declaration on the Declaration tab cell D9</v>
      </c>
      <c r="D5" s="92" t="str">
        <f>IF(H5=1,"Click here to enter Declaration Scope","")</f>
        <v>Click here to enter Declaration Scope</v>
      </c>
      <c r="E5" s="19" t="s">
        <v>1261</v>
      </c>
      <c r="F5" s="90">
        <v>1</v>
      </c>
      <c r="G5" s="67">
        <f>IF(B5=0,1,0)</f>
        <v>1</v>
      </c>
      <c r="H5" s="68">
        <f t="shared" ref="H5" si="2">F5*G5</f>
        <v>1</v>
      </c>
      <c r="I5" s="142" t="str">
        <f ca="1">OFFSET(L!$C$1,MATCH("Checker"&amp;"Comp",L!$A:$A,0)-1,SL,,)</f>
        <v>Complete</v>
      </c>
      <c r="J5" s="143" t="str">
        <f ca="1">OFFSET(L!$C$1,MATCH("Checker"&amp;ADDRESS(ROW(),COLUMN(),4),L!$A:$A,0)-1,SL,,)</f>
        <v>Select the scope of declaration on the Declaration tab cell D9</v>
      </c>
    </row>
    <row r="6" spans="1:10" ht="41">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41">
      <c r="A7" s="87" t="str">
        <f ca="1">Declaration!B15</f>
        <v>Contact Name (*):</v>
      </c>
      <c r="B7" s="86">
        <f>Declaration!D15</f>
        <v>0</v>
      </c>
      <c r="C7" s="86" t="str">
        <f ca="1">IF(H7=1,J7,I7)</f>
        <v>Provide contact name in Declaration tab cell D15</v>
      </c>
      <c r="D7" s="92" t="str">
        <f>IF(H7=1,"Click here to enter Contact Name","")</f>
        <v>Click here to enter Contact Name</v>
      </c>
      <c r="E7" s="19" t="s">
        <v>1261</v>
      </c>
      <c r="F7" s="90">
        <v>1</v>
      </c>
      <c r="G7" s="67">
        <f>IF(B7=0,1,0)</f>
        <v>1</v>
      </c>
      <c r="H7" s="68">
        <f t="shared" si="3"/>
        <v>1</v>
      </c>
      <c r="I7" s="142" t="str">
        <f ca="1">OFFSET(L!$C$1,MATCH("Checker"&amp;"Comp",L!$A:$A,0)-1,SL,,)</f>
        <v>Complete</v>
      </c>
      <c r="J7" s="18" t="str">
        <f ca="1">OFFSET(L!$C$1,MATCH("Checker"&amp;ADDRESS(ROW(),COLUMN(),4),L!$A:$A,0)-1,SL,,)</f>
        <v>Provide contact name in Declaration tab cell D15</v>
      </c>
    </row>
    <row r="8" spans="1:10" ht="41">
      <c r="A8" s="87" t="str">
        <f ca="1">Declaration!B16</f>
        <v>Email – Contact (*):</v>
      </c>
      <c r="B8" s="86">
        <f>Declaration!D16</f>
        <v>0</v>
      </c>
      <c r="C8" s="86" t="str">
        <f ca="1">IF(H8=1,J8,I8)</f>
        <v>Provide a valid email for contact in Declaration tab cell D16</v>
      </c>
      <c r="D8" s="92" t="str">
        <f>IF(H8=1,"Click here to enter Email-Contact","")</f>
        <v>Click here to enter Email-Contact</v>
      </c>
      <c r="E8" s="19" t="s">
        <v>1261</v>
      </c>
      <c r="F8" s="90">
        <v>1</v>
      </c>
      <c r="G8" s="67">
        <f>IF(ISNUMBER(SEARCH("@",B8)),0,1)</f>
        <v>1</v>
      </c>
      <c r="H8" s="68">
        <f t="shared" si="3"/>
        <v>1</v>
      </c>
      <c r="I8" s="142" t="str">
        <f ca="1">OFFSET(L!$C$1,MATCH("Checker"&amp;"Comp",L!$A:$A,0)-1,SL,,)</f>
        <v>Complete</v>
      </c>
      <c r="J8" s="18" t="str">
        <f ca="1">OFFSET(L!$C$1,MATCH("Checker"&amp;ADDRESS(ROW(),COLUMN(),4),L!$A:$A,0)-1,SL,,)</f>
        <v>Provide a valid email for contact in Declaration tab cell D16</v>
      </c>
    </row>
    <row r="9" spans="1:10" ht="41">
      <c r="A9" s="87" t="str">
        <f ca="1">Declaration!B17</f>
        <v>Phone – Contact (*):</v>
      </c>
      <c r="B9" s="256">
        <f>Declaration!D17</f>
        <v>0</v>
      </c>
      <c r="C9" s="86" t="str">
        <f ca="1">IF(H9=1,J9,I9)</f>
        <v>Provide a phone number for contact in Declaration tab cell D17</v>
      </c>
      <c r="D9" s="92" t="str">
        <f>IF(H9=1,"Click here to enter Phone-Contact","")</f>
        <v>Click here to enter Phone-Contact</v>
      </c>
      <c r="E9" s="19" t="s">
        <v>1261</v>
      </c>
      <c r="F9" s="90">
        <v>1</v>
      </c>
      <c r="G9" s="67">
        <f>IF(B9=0,1,0)</f>
        <v>1</v>
      </c>
      <c r="H9" s="68">
        <f t="shared" si="3"/>
        <v>1</v>
      </c>
      <c r="I9" s="142" t="str">
        <f ca="1">OFFSET(L!$C$1,MATCH("Checker"&amp;"Comp",L!$A:$A,0)-1,SL,,)</f>
        <v>Complete</v>
      </c>
      <c r="J9" s="18" t="str">
        <f ca="1">OFFSET(L!$C$1,MATCH("Checker"&amp;ADDRESS(ROW(),COLUMN(),4),L!$A:$A,0)-1,SL,,)</f>
        <v>Provide a phone number for contact in Declaration tab cell D17</v>
      </c>
    </row>
    <row r="10" spans="1:10" ht="41">
      <c r="A10" s="87" t="str">
        <f ca="1">Declaration!B18</f>
        <v>Authorizer (*):</v>
      </c>
      <c r="B10" s="86">
        <f>Declaration!D18</f>
        <v>0</v>
      </c>
      <c r="C10" s="86" t="str">
        <f t="shared" ref="C10" ca="1" si="4">IF(H10=1,J10,I10)</f>
        <v>Provide authorized company representative contact name in Declaration tab cell D18</v>
      </c>
      <c r="D10" s="92" t="str">
        <f>IF(H10=1,"Click here to enter an Authorized Company Representative's name","")</f>
        <v>Click here to enter an Authorized Company Representative's name</v>
      </c>
      <c r="E10" s="19" t="s">
        <v>1261</v>
      </c>
      <c r="F10" s="90">
        <v>1</v>
      </c>
      <c r="G10" s="67">
        <f t="shared" ref="G10" si="5">IF(B10=0,1,0)</f>
        <v>1</v>
      </c>
      <c r="H10" s="68">
        <f t="shared" si="3"/>
        <v>1</v>
      </c>
      <c r="I10" s="142" t="str">
        <f ca="1">OFFSET(L!$C$1,MATCH("Checker"&amp;"Comp",L!$A:$A,0)-1,SL,,)</f>
        <v>Complete</v>
      </c>
      <c r="J10" s="18" t="str">
        <f ca="1">OFFSET(L!$C$1,MATCH("Checker"&amp;ADDRESS(ROW(),COLUMN(),4),L!$A:$A,0)-1,SL,,)</f>
        <v>Provide authorized company representative contact name in Declaration tab cell D18</v>
      </c>
    </row>
    <row r="11" spans="1:10" ht="41">
      <c r="A11" s="87" t="str">
        <f ca="1">Declaration!B20</f>
        <v>Email - Authorizer (*):</v>
      </c>
      <c r="B11" s="86">
        <f>Declaration!D20</f>
        <v>0</v>
      </c>
      <c r="C11" s="86" t="str">
        <f ca="1">IF(H11=1,J11,I11)</f>
        <v>Provide an email for authorized company representative on Declaration tab cell D20</v>
      </c>
      <c r="D11" s="92" t="str">
        <f>IF(H11=1,"Click here to enter Representative's email","")</f>
        <v>Click here to enter Representative's email</v>
      </c>
      <c r="E11" s="19" t="s">
        <v>1261</v>
      </c>
      <c r="F11" s="90">
        <v>1</v>
      </c>
      <c r="G11" s="67">
        <f>IF(ISNUMBER(SEARCH("@",B11)),0,1)</f>
        <v>1</v>
      </c>
      <c r="H11" s="68">
        <f t="shared" si="3"/>
        <v>1</v>
      </c>
      <c r="I11" s="142" t="str">
        <f ca="1">OFFSET(L!$C$1,MATCH("Checker"&amp;"Comp",L!$A:$A,0)-1,SL,,)</f>
        <v>Complete</v>
      </c>
      <c r="J11" s="18" t="str">
        <f ca="1">OFFSET(L!$C$1,MATCH("Checker"&amp;ADDRESS(ROW(),COLUMN(),4),L!$A:$A,0)-1,SL,,)</f>
        <v>Provide an email for authorized company representative on Declaration tab cell D20</v>
      </c>
    </row>
    <row r="12" spans="1:10" ht="41">
      <c r="A12" s="87" t="str">
        <f ca="1">Declaration!B22</f>
        <v>Effective Date (*):</v>
      </c>
      <c r="B12" s="88">
        <f>Declaration!D22</f>
        <v>0</v>
      </c>
      <c r="C12" s="86" t="str">
        <f ca="1">IF(H12=1,J12,I12)</f>
        <v>Provide date the form was completed on Declaration tab cell D22</v>
      </c>
      <c r="D12" s="92" t="str">
        <f>IF(H12=1,"Click here to enter Date of Completion","")</f>
        <v>Click here to enter Date of Completion</v>
      </c>
      <c r="E12" s="19" t="s">
        <v>1261</v>
      </c>
      <c r="F12" s="90">
        <v>1</v>
      </c>
      <c r="G12" s="67">
        <f>IF(B12=0,1,0)</f>
        <v>1</v>
      </c>
      <c r="H12" s="68">
        <f t="shared" si="3"/>
        <v>1</v>
      </c>
      <c r="I12" s="142" t="str">
        <f ca="1">OFFSET(L!$C$1,MATCH("Checker"&amp;"Comp",L!$A:$A,0)-1,SL,,)</f>
        <v>Complete</v>
      </c>
      <c r="J12" s="18" t="str">
        <f ca="1">OFFSET(L!$C$1,MATCH("Checker"&amp;ADDRESS(ROW(),COLUMN(),4),L!$A:$A,0)-1,SL,,)</f>
        <v>Provide date the form was completed on Declaration tab cell D22</v>
      </c>
    </row>
    <row r="13" spans="1:10" ht="67.5">
      <c r="A13" s="86" t="str">
        <f ca="1">Declaration!B25</f>
        <v>1) Is any 3TG intentionally added or used in the product(s) or in the production process? (*)</v>
      </c>
      <c r="B13" s="89"/>
      <c r="C13" s="89"/>
      <c r="D13" s="93"/>
      <c r="E13" s="19" t="s">
        <v>773</v>
      </c>
      <c r="F13" s="90"/>
      <c r="H13" s="18">
        <f t="shared" si="3"/>
        <v>0</v>
      </c>
    </row>
    <row r="14" spans="1:10" ht="27.5">
      <c r="A14" s="87" t="str">
        <f ca="1">Declaration!B26</f>
        <v>Tantalum  (*)</v>
      </c>
      <c r="B14" s="86">
        <f>Declaration!D26</f>
        <v>0</v>
      </c>
      <c r="C14" s="86" t="str">
        <f ca="1">IF(H14=1,J14,I14)</f>
        <v>Declare if Tantalum is intentionally added to your products on Declaration tab cell D26</v>
      </c>
      <c r="D14" s="92" t="str">
        <f>IF(H14=1,"Click here to answer question 1 for Tantalum","")</f>
        <v>Click here to answer question 1 for Tantalum</v>
      </c>
      <c r="E14" s="19" t="s">
        <v>769</v>
      </c>
      <c r="F14" s="90">
        <v>1</v>
      </c>
      <c r="G14" s="67">
        <f>IF(B14=0,1,0)</f>
        <v>1</v>
      </c>
      <c r="H14" s="68">
        <f t="shared" si="3"/>
        <v>1</v>
      </c>
      <c r="I14" s="142" t="str">
        <f ca="1">OFFSET(L!$C$1,MATCH("Checker"&amp;"Comp",L!$A:$A,0)-1,SL,,)</f>
        <v>Complete</v>
      </c>
      <c r="J14" s="143" t="str">
        <f ca="1">OFFSET(L!$C$1,MATCH("Checker"&amp;ADDRESS(ROW(),COLUMN(),4),L!$A:$A,0)-1,SL,,)</f>
        <v>Declare if Tantalum is intentionally added to your products on Declaration tab cell D26</v>
      </c>
    </row>
    <row r="15" spans="1:10" ht="41">
      <c r="A15" s="87" t="str">
        <f ca="1">Declaration!B27</f>
        <v>Tin  (*)</v>
      </c>
      <c r="B15" s="86">
        <f>Declaration!D27</f>
        <v>0</v>
      </c>
      <c r="C15" s="86" t="str">
        <f ca="1">IF(H15=1,J15,I15)</f>
        <v>Declare if Tin is intentionally added to your products on Declaration tab cell D27</v>
      </c>
      <c r="D15" s="92" t="str">
        <f>IF(H15=1,"Click here to answer question 1 for Tin","")</f>
        <v>Click here to answer question 1 for Tin</v>
      </c>
      <c r="E15" s="19" t="s">
        <v>770</v>
      </c>
      <c r="F15" s="90">
        <v>1</v>
      </c>
      <c r="G15" s="67">
        <f>IF(B15=0,1,0)</f>
        <v>1</v>
      </c>
      <c r="H15" s="68">
        <f t="shared" si="3"/>
        <v>1</v>
      </c>
      <c r="I15" s="142" t="str">
        <f ca="1">OFFSET(L!$C$1,MATCH("Checker"&amp;"Comp",L!$A:$A,0)-1,SL,,)</f>
        <v>Complete</v>
      </c>
      <c r="J15" s="143" t="str">
        <f ca="1">OFFSET(L!$C$1,MATCH("Checker"&amp;ADDRESS(ROW(),COLUMN(),4),L!$A:$A,0)-1,SL,,)</f>
        <v>Declare if Tin is intentionally added to your products on Declaration tab cell D27</v>
      </c>
    </row>
    <row r="16" spans="1:10" ht="41">
      <c r="A16" s="87" t="str">
        <f ca="1">Declaration!B28</f>
        <v>Gold  (*)</v>
      </c>
      <c r="B16" s="86">
        <f>Declaration!D28</f>
        <v>0</v>
      </c>
      <c r="C16" s="86" t="str">
        <f ca="1">IF(H16=1,J16,I16)</f>
        <v>Declare if Gold is intentionally added to your products on Declaration tab cell D28</v>
      </c>
      <c r="D16" s="92" t="str">
        <f>IF(H16=1,"Click here to answer question 1 for Gold","")</f>
        <v>Click here to answer question 1 for Gold</v>
      </c>
      <c r="E16" s="19" t="s">
        <v>770</v>
      </c>
      <c r="F16" s="90">
        <v>1</v>
      </c>
      <c r="G16" s="67">
        <f>IF(B16=0,1,0)</f>
        <v>1</v>
      </c>
      <c r="H16" s="68">
        <f t="shared" si="3"/>
        <v>1</v>
      </c>
      <c r="I16" s="142" t="str">
        <f ca="1">OFFSET(L!$C$1,MATCH("Checker"&amp;"Comp",L!$A:$A,0)-1,SL,,)</f>
        <v>Complete</v>
      </c>
      <c r="J16" s="143" t="str">
        <f ca="1">OFFSET(L!$C$1,MATCH("Checker"&amp;ADDRESS(ROW(),COLUMN(),4),L!$A:$A,0)-1,SL,,)</f>
        <v>Declare if Gold is intentionally added to your products on Declaration tab cell D28</v>
      </c>
    </row>
    <row r="17" spans="1:10" ht="41">
      <c r="A17" s="87" t="str">
        <f ca="1">Declaration!B29</f>
        <v>Tungsten  (*)</v>
      </c>
      <c r="B17" s="86">
        <f>Declaration!D29</f>
        <v>0</v>
      </c>
      <c r="C17" s="86" t="str">
        <f ca="1">IF(H17=1,J17,I17)</f>
        <v>Declare if Tungsten is intentionally added to your products on Declaration tab cell D29</v>
      </c>
      <c r="D17" s="92" t="str">
        <f>IF(H17=1,"Click here to answer question 1 for Tungsten","")</f>
        <v>Click here to answer question 1 for Tungsten</v>
      </c>
      <c r="E17" s="19" t="s">
        <v>770</v>
      </c>
      <c r="F17" s="90">
        <v>1</v>
      </c>
      <c r="G17" s="67">
        <f>IF(B17=0,1,0)</f>
        <v>1</v>
      </c>
      <c r="H17" s="68">
        <f t="shared" si="3"/>
        <v>1</v>
      </c>
      <c r="I17" s="142" t="str">
        <f ca="1">OFFSET(L!$C$1,MATCH("Checker"&amp;"Comp",L!$A:$A,0)-1,SL,,)</f>
        <v>Complete</v>
      </c>
      <c r="J17" s="143" t="str">
        <f ca="1">OFFSET(L!$C$1,MATCH("Checker"&amp;ADDRESS(ROW(),COLUMN(),4),L!$A:$A,0)-1,SL,,)</f>
        <v>Declare if Tungsten is intentionally added to your products on Declaration tab cell D29</v>
      </c>
    </row>
    <row r="18" spans="1:10" ht="54">
      <c r="A18" s="86" t="str">
        <f ca="1">Declaration!B31</f>
        <v>2) Does any 3TG remain in the product(s)? (*)</v>
      </c>
      <c r="B18" s="89"/>
      <c r="C18" s="89"/>
      <c r="D18" s="93"/>
      <c r="E18" s="19" t="s">
        <v>771</v>
      </c>
      <c r="F18" s="90"/>
      <c r="J18" s="143"/>
    </row>
    <row r="19" spans="1:10" ht="41">
      <c r="A19" s="87" t="str">
        <f ca="1">Declaration!B32</f>
        <v>Tantalum  (*)</v>
      </c>
      <c r="B19" s="86">
        <f>IF($B$14="Yes",Declaration!D32,0)</f>
        <v>0</v>
      </c>
      <c r="C19" s="86" t="str">
        <f ca="1">IF(H19=1,J19,I19)</f>
        <v>Declare if Tantalum is necessary to the production of your products and contained within the finished products declared in Declaration tab cell D32</v>
      </c>
      <c r="D19" s="94" t="str">
        <f>IF(H19=1,"Click here to answer question 2 for Tantalum","")</f>
        <v>Click here to answer question 2 for Tantalum</v>
      </c>
      <c r="E19" s="19" t="s">
        <v>770</v>
      </c>
      <c r="F19" s="91">
        <f>IF(B$14="No",0,1)</f>
        <v>1</v>
      </c>
      <c r="G19" s="67">
        <f>IF(B19=0,1,0)</f>
        <v>1</v>
      </c>
      <c r="H19" s="68">
        <f>F19*G19</f>
        <v>1</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41">
      <c r="A20" s="87" t="str">
        <f ca="1">Declaration!B33</f>
        <v>Tin  (*)</v>
      </c>
      <c r="B20" s="86">
        <f>IF($B$15="Yes",Declaration!D33,0)</f>
        <v>0</v>
      </c>
      <c r="C20" s="86" t="str">
        <f ca="1">IF(H20=1,J20,I20)</f>
        <v>Declare if Tin is necessary to the production of your products and contained within the finished products declared in Declaration tab cell D33</v>
      </c>
      <c r="D20" s="94" t="str">
        <f>IF(H20=1,"Click here to answer question 2 for Tin","")</f>
        <v>Click here to answer question 2 for Tin</v>
      </c>
      <c r="E20" s="19" t="s">
        <v>770</v>
      </c>
      <c r="F20" s="91">
        <f>IF(B$15="No",0,1)</f>
        <v>1</v>
      </c>
      <c r="G20" s="67">
        <f>IF(B20=0,1,0)</f>
        <v>1</v>
      </c>
      <c r="H20" s="68">
        <f>F20*G20</f>
        <v>1</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41">
      <c r="A21" s="87" t="str">
        <f ca="1">Declaration!B34</f>
        <v>Gold  (*)</v>
      </c>
      <c r="B21" s="86">
        <f>IF($B$16="Yes",Declaration!D34,0)</f>
        <v>0</v>
      </c>
      <c r="C21" s="86" t="str">
        <f ca="1">IF(H21=1,J21,I21)</f>
        <v>Declare if Gold is necessary to the production of your products and contained within the finished products declared in Declaration tab cell D34</v>
      </c>
      <c r="D21" s="94" t="str">
        <f>IF(H21=1,"Click here to answer question 2 for Gold","")</f>
        <v>Click here to answer question 2 for Gold</v>
      </c>
      <c r="E21" s="19" t="s">
        <v>770</v>
      </c>
      <c r="F21" s="91">
        <f>IF(B$16="No",0,1)</f>
        <v>1</v>
      </c>
      <c r="G21" s="67">
        <f>IF(B21=0,1,0)</f>
        <v>1</v>
      </c>
      <c r="H21" s="68">
        <f>F21*G21</f>
        <v>1</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41">
      <c r="A22" s="87" t="str">
        <f ca="1">Declaration!B35</f>
        <v>Tungsten  (*)</v>
      </c>
      <c r="B22" s="86">
        <f>IF($B$17="Yes",Declaration!D35,0)</f>
        <v>0</v>
      </c>
      <c r="C22" s="86" t="str">
        <f ca="1">IF(H22=1,J22,I22)</f>
        <v>Declare if Tungsten is necessary to the production of your products and contained within the finished products declared in Declaration tab cell D35</v>
      </c>
      <c r="D22" s="94" t="str">
        <f>IF(H22=1,"Click here to answer question 2 for Tungsten","")</f>
        <v>Click here to answer question 2 for Tungsten</v>
      </c>
      <c r="E22" s="19" t="s">
        <v>770</v>
      </c>
      <c r="F22" s="91">
        <f>IF(B$17="No",0,1)</f>
        <v>1</v>
      </c>
      <c r="G22" s="67">
        <f>IF(B22=0,1,0)</f>
        <v>1</v>
      </c>
      <c r="H22" s="68">
        <f>F22*G22</f>
        <v>1</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41">
      <c r="A24" s="87" t="str">
        <f ca="1">Declaration!B38</f>
        <v>Tantalum  (*)</v>
      </c>
      <c r="B24" s="86">
        <f>IF(AND($B$14="Yes",$B$19="Yes"),Declaration!D38,0)</f>
        <v>0</v>
      </c>
      <c r="C24" s="86" t="str">
        <f ca="1">IF(H24=1,J24,I24)</f>
        <v>Declare if Tantalum used within the scope of products declared within this survey response originated from the DRC or an adjoining Country on the Declaration tab cell D38</v>
      </c>
      <c r="D24" s="94" t="str">
        <f>IF(H24=1,"Click here to answer question 3 for Tantalum","")</f>
        <v>Click here to answer question 3 for Tantalum</v>
      </c>
      <c r="E24" s="19" t="s">
        <v>770</v>
      </c>
      <c r="F24" s="91">
        <f>IF(OR(B14="No",B19="No"),0,1)</f>
        <v>1</v>
      </c>
      <c r="G24" s="67">
        <f t="shared" ref="G24" si="6">IF(B24=0,1,0)</f>
        <v>1</v>
      </c>
      <c r="H24" s="68">
        <f t="shared" ref="H24" si="7">F24*G24</f>
        <v>1</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41">
      <c r="A25" s="87" t="str">
        <f ca="1">Declaration!B39</f>
        <v>Tin  (*)</v>
      </c>
      <c r="B25" s="86">
        <f>IF(AND($B$15="Yes",$B$20="Yes"),Declaration!D39,0)</f>
        <v>0</v>
      </c>
      <c r="C25" s="86" t="str">
        <f ca="1">IF(H25=1,J25,I25)</f>
        <v>Declare if Tin used within the scope of products declared within this survey response originated from the DRC or an adjoining Country on the Declaration tab cell D39</v>
      </c>
      <c r="D25" s="94" t="str">
        <f>IF(H25=1,"Click here to answer question 3 for Tin","")</f>
        <v>Click here to answer question 3 for Tin</v>
      </c>
      <c r="E25" s="19" t="s">
        <v>770</v>
      </c>
      <c r="F25" s="91">
        <f>IF(OR(B15="No",B20="No"),0,1)</f>
        <v>1</v>
      </c>
      <c r="G25" s="67">
        <f>IF(B25=0,1,0)</f>
        <v>1</v>
      </c>
      <c r="H25" s="68">
        <f>F25*G25</f>
        <v>1</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41">
      <c r="A26" s="87" t="str">
        <f ca="1">Declaration!B40</f>
        <v>Gold  (*)</v>
      </c>
      <c r="B26" s="86">
        <f>IF(AND($B$16="Yes",$B$21="Yes"),Declaration!D40,0)</f>
        <v>0</v>
      </c>
      <c r="C26" s="86" t="str">
        <f ca="1">IF(H26=1,J26,I26)</f>
        <v>Declare if Gold used within the scope of products declared within this survey response originated from the DRC or an adjoining Country on the Declaration tab cell D40</v>
      </c>
      <c r="D26" s="94" t="str">
        <f>IF(H26=1,"Click here to answer question 3 for Gold","")</f>
        <v>Click here to answer question 3 for Gold</v>
      </c>
      <c r="E26" s="19" t="s">
        <v>770</v>
      </c>
      <c r="F26" s="91">
        <f>IF(OR(B16="No",B21="No"),0,1)</f>
        <v>1</v>
      </c>
      <c r="G26" s="67">
        <f>IF(B26=0,1,0)</f>
        <v>1</v>
      </c>
      <c r="H26" s="68">
        <f>F26*G26</f>
        <v>1</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41">
      <c r="A27" s="87" t="str">
        <f ca="1">Declaration!B41</f>
        <v>Tungsten  (*)</v>
      </c>
      <c r="B27" s="86">
        <f>IF(AND($B$17="Yes",$B$22="Yes"),Declaration!D41,0)</f>
        <v>0</v>
      </c>
      <c r="C27" s="86" t="str">
        <f ca="1">IF(H27=1,J27,I27)</f>
        <v>Declare if Tungsten used within the scope of products declared within this survey response originated from the DRC or an adjoining Country on the Declaration tab cell D41</v>
      </c>
      <c r="D27" s="94" t="str">
        <f>IF(H27=1,"Click here to answer question 3 for Tungsten","")</f>
        <v>Click here to answer question 3 for Tungsten</v>
      </c>
      <c r="E27" s="19" t="s">
        <v>770</v>
      </c>
      <c r="F27" s="91">
        <f>IF(OR(B17="No",B22="No"),0,1)</f>
        <v>1</v>
      </c>
      <c r="G27" s="67">
        <f>IF(B27=0,1,0)</f>
        <v>1</v>
      </c>
      <c r="H27" s="68">
        <f>F27*G27</f>
        <v>1</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6" t="str">
        <f ca="1">Declaration!B43</f>
        <v>4) Do any of the smelters in your supply chain source the 3TG from conflict-affected and high-risk areas? (*)</v>
      </c>
      <c r="B28" s="86"/>
      <c r="C28" s="86"/>
      <c r="D28" s="94"/>
      <c r="E28" s="19"/>
      <c r="F28" s="19"/>
      <c r="G28" s="19"/>
      <c r="I28" s="142"/>
    </row>
    <row r="29" spans="1:10" ht="41.15" customHeight="1">
      <c r="A29" s="87" t="str">
        <f ca="1">Declaration!B44</f>
        <v>Tantalum  (*)</v>
      </c>
      <c r="B29" s="86">
        <f>IF(AND($B$14="Yes",$B$19="Yes"),Declaration!D44,0)</f>
        <v>0</v>
      </c>
      <c r="C29" s="86" t="str">
        <f ca="1">IF(H29=1,J29,I29)</f>
        <v>Declare if Tantalum used within the scope of products declared within this survey response originated from a conflict-affected and high-risk area on the Declaration tab cell D44</v>
      </c>
      <c r="D29" s="243" t="str">
        <f>IF(H29=1,"Click here to answer question 4 for Tantalum","")</f>
        <v>Click here to answer question 4 for Tantalum</v>
      </c>
      <c r="E29" s="19"/>
      <c r="F29" s="91">
        <f>F24</f>
        <v>1</v>
      </c>
      <c r="G29" s="67">
        <f t="shared" ref="G29" si="8">IF(B29=0,1,0)</f>
        <v>1</v>
      </c>
      <c r="H29" s="68">
        <f t="shared" ref="H29" si="9">F29*G29</f>
        <v>1</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7" t="str">
        <f ca="1">Declaration!B45</f>
        <v>Tin  (*)</v>
      </c>
      <c r="B30" s="86">
        <f>IF(AND($B$15="Yes",$B$20="Yes"),Declaration!D45,0)</f>
        <v>0</v>
      </c>
      <c r="C30" s="86" t="str">
        <f ca="1">IF(H30=1,J30,I30)</f>
        <v>Declare if Tin used within the scope of products declared within this survey response originated from a conflict-affected and high-risk area on the Declaration tab cell D45</v>
      </c>
      <c r="D30" s="243" t="str">
        <f>IF(H30=1,"Click here to answer question 4 for Tin","")</f>
        <v>Click here to answer question 4 for Tin</v>
      </c>
      <c r="E30" s="19"/>
      <c r="F30" s="91">
        <f>F25</f>
        <v>1</v>
      </c>
      <c r="G30" s="67">
        <f>IF(B30=0,1,0)</f>
        <v>1</v>
      </c>
      <c r="H30" s="68">
        <f>F30*G30</f>
        <v>1</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7" t="str">
        <f ca="1">Declaration!B46</f>
        <v>Gold  (*)</v>
      </c>
      <c r="B31" s="86">
        <f>IF(AND($B$16="Yes",$B$21="Yes"),Declaration!D46,0)</f>
        <v>0</v>
      </c>
      <c r="C31" s="86" t="str">
        <f ca="1">IF(H31=1,J31,I31)</f>
        <v>Declare if Gold used within the scope of products declared within this survey response originated from a conflict-affected and high-risk area on the Declaration tab cell D46</v>
      </c>
      <c r="D31" s="243" t="str">
        <f>IF(H31=1,"Click here to answer question 4 for Gold","")</f>
        <v>Click here to answer question 4 for Gold</v>
      </c>
      <c r="E31" s="19"/>
      <c r="F31" s="91">
        <f>F26</f>
        <v>1</v>
      </c>
      <c r="G31" s="67">
        <f>IF(B31=0,1,0)</f>
        <v>1</v>
      </c>
      <c r="H31" s="68">
        <f>F31*G31</f>
        <v>1</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7" t="str">
        <f ca="1">Declaration!B47</f>
        <v>Tungsten  (*)</v>
      </c>
      <c r="B32" s="86">
        <f>IF(AND($B$17="Yes",$B$22="Yes"),Declaration!D47,0)</f>
        <v>0</v>
      </c>
      <c r="C32" s="86" t="str">
        <f ca="1">IF(H32=1,J32,I32)</f>
        <v>Declare if Tungsten used within the scope of products declared within this survey response originated from a conflict-affected and high-risk area on the Declaration tab cell D47</v>
      </c>
      <c r="D32" s="243" t="str">
        <f>IF(H32=1,"Click here to answer question 4 for Tungsten","")</f>
        <v>Click here to answer question 4 for Tungsten</v>
      </c>
      <c r="E32" s="19"/>
      <c r="F32" s="91">
        <f>F27</f>
        <v>1</v>
      </c>
      <c r="G32" s="67">
        <f>IF(B32=0,1,0)</f>
        <v>1</v>
      </c>
      <c r="H32" s="68">
        <f>F32*G32</f>
        <v>1</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40.5">
      <c r="A33" s="86" t="str">
        <f ca="1">Declaration!B49</f>
        <v>5) Does 100 percent of the 3TG (necessary to the functionality or production of your products) originate from recycled or scrap sources?  (*)</v>
      </c>
      <c r="B33" s="89"/>
      <c r="C33" s="89"/>
      <c r="D33" s="93"/>
      <c r="E33" s="19" t="s">
        <v>1261</v>
      </c>
      <c r="F33" s="90"/>
      <c r="J33" s="143"/>
    </row>
    <row r="34" spans="1:10" ht="41">
      <c r="A34" s="87" t="str">
        <f ca="1">Declaration!B50</f>
        <v>Tantalum  (*)</v>
      </c>
      <c r="B34" s="86">
        <f>IF(AND($B$14="Yes",$B$19="Yes"),Declaration!D50,0)</f>
        <v>0</v>
      </c>
      <c r="C34" s="86" t="str">
        <f ca="1">IF(H34=1,J34,I34)</f>
        <v>Declare if Tantalum used within the scope of products declared within this survey response originated entirely from a recycled or scrap source on the Declaration tab cell D44</v>
      </c>
      <c r="D34" s="243" t="str">
        <f>IF(H34=1,"Click here to answer question 5 for Tantalum","")</f>
        <v>Click here to answer question 5 for Tantalum</v>
      </c>
      <c r="E34" s="19" t="s">
        <v>1261</v>
      </c>
      <c r="F34" s="91">
        <f>F24</f>
        <v>1</v>
      </c>
      <c r="G34" s="67">
        <f>IF(B34=0,1,0)</f>
        <v>1</v>
      </c>
      <c r="H34" s="68">
        <f>F34*G34</f>
        <v>1</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41">
      <c r="A35" s="87" t="str">
        <f ca="1">Declaration!B51</f>
        <v>Tin  (*)</v>
      </c>
      <c r="B35" s="86">
        <f>IF(AND($B$15="Yes",$B$20="Yes"),Declaration!D51,0)</f>
        <v>0</v>
      </c>
      <c r="C35" s="86" t="str">
        <f ca="1">IF(H35=1,J35,I35)</f>
        <v>Declare if Tin used within the scope of products declared within this survey response originated entirely from a recycled or scrap source on the Declaration tab cell D45</v>
      </c>
      <c r="D35" s="243" t="str">
        <f>IF(H35=1,"Click here to answer question 5 for Tin","")</f>
        <v>Click here to answer question 5 for Tin</v>
      </c>
      <c r="E35" s="19" t="s">
        <v>1261</v>
      </c>
      <c r="F35" s="91">
        <f>F25</f>
        <v>1</v>
      </c>
      <c r="G35" s="67">
        <f>IF(B35=0,1,0)</f>
        <v>1</v>
      </c>
      <c r="H35" s="68">
        <f>F35*G35</f>
        <v>1</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41">
      <c r="A36" s="87" t="str">
        <f ca="1">Declaration!B52</f>
        <v>Gold  (*)</v>
      </c>
      <c r="B36" s="86">
        <f>IF(AND($B$16="Yes",$B$21="Yes"),Declaration!D52,0)</f>
        <v>0</v>
      </c>
      <c r="C36" s="86" t="str">
        <f ca="1">IF(H36=1,J36,I36)</f>
        <v>Declare if Gold used within the scope of products declared within this survey response originated entirely from a recycled or scrap source on the Declaration tab cell D46</v>
      </c>
      <c r="D36" s="243" t="str">
        <f>IF(H36=1,"Click here to answer question 5 for Gold","")</f>
        <v>Click here to answer question 5 for Gold</v>
      </c>
      <c r="E36" s="19" t="s">
        <v>1261</v>
      </c>
      <c r="F36" s="91">
        <f>F26</f>
        <v>1</v>
      </c>
      <c r="G36" s="67">
        <f>IF(B36=0,1,0)</f>
        <v>1</v>
      </c>
      <c r="H36" s="68">
        <f>F36*G36</f>
        <v>1</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41">
      <c r="A37" s="87" t="str">
        <f ca="1">Declaration!B53</f>
        <v>Tungsten  (*)</v>
      </c>
      <c r="B37" s="86">
        <f>IF(AND($B$17="Yes",$B$22="Yes"),Declaration!D53,0)</f>
        <v>0</v>
      </c>
      <c r="C37" s="86" t="str">
        <f ca="1">IF(H37=1,J37,I37)</f>
        <v>Declare if Tungsten used within the scope of products declared within this survey response originated entirely from a recycled or scrap source on the Declaration tab cell D47</v>
      </c>
      <c r="D37" s="243" t="str">
        <f>IF(H37=1,"Click here to answer question 5 for Tungsten","")</f>
        <v>Click here to answer question 5 for Tungsten</v>
      </c>
      <c r="E37" s="19" t="s">
        <v>1261</v>
      </c>
      <c r="F37" s="91">
        <f>F27</f>
        <v>1</v>
      </c>
      <c r="G37" s="67">
        <f>IF(B37=0,1,0)</f>
        <v>1</v>
      </c>
      <c r="H37" s="68">
        <f>F37*G37</f>
        <v>1</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40.5">
      <c r="A38" s="86" t="str">
        <f ca="1">Declaration!B55</f>
        <v>6) What percentage of relevant suppliers have provided a response to your supply chain survey?  (*)</v>
      </c>
      <c r="B38" s="89"/>
      <c r="C38" s="89"/>
      <c r="D38" s="93"/>
      <c r="E38" s="19" t="s">
        <v>770</v>
      </c>
      <c r="F38" s="90"/>
    </row>
    <row r="39" spans="1:10" ht="27.5">
      <c r="A39" s="87" t="str">
        <f ca="1">Declaration!B56</f>
        <v>Tantalum  (*)</v>
      </c>
      <c r="B39" s="251">
        <f>IF(AND($B$14="Yes",$B$19="Yes"),Declaration!D56,0)</f>
        <v>0</v>
      </c>
      <c r="C39" s="86" t="str">
        <f ca="1">IF(H39=1,J39,I39)</f>
        <v>Provide % of completeness of supplier's smelter information on Declaration tab cell D50</v>
      </c>
      <c r="D39" s="244" t="str">
        <f>IF(H39=1,"Click here to answer question 6 for Tantalum","")</f>
        <v>Click here to answer question 6 for Tantalum</v>
      </c>
      <c r="E39" s="19" t="s">
        <v>769</v>
      </c>
      <c r="F39" s="91">
        <f>F24</f>
        <v>1</v>
      </c>
      <c r="G39" s="67">
        <f>IF(B39=0,1,0)</f>
        <v>1</v>
      </c>
      <c r="H39" s="68">
        <f>F39*G39</f>
        <v>1</v>
      </c>
      <c r="I39" s="142" t="str">
        <f ca="1">OFFSET(L!$C$1,MATCH("Checker"&amp;"Comp",L!$A:$A,0)-1,SL,,)</f>
        <v>Complete</v>
      </c>
      <c r="J39" s="18" t="str">
        <f ca="1">OFFSET(L!$C$1,MATCH("Checker"&amp;ADDRESS(ROW(),COLUMN(),4),L!$A:$A,0)-1,SL,,)</f>
        <v>Provide % of completeness of supplier's smelter information on Declaration tab cell D50</v>
      </c>
    </row>
    <row r="40" spans="1:10" ht="27.5">
      <c r="A40" s="87" t="str">
        <f ca="1">Declaration!B57</f>
        <v>Tin  (*)</v>
      </c>
      <c r="B40" s="251">
        <f>IF(AND($B$15="Yes",$B$20="Yes"),Declaration!D57,0)</f>
        <v>0</v>
      </c>
      <c r="C40" s="86" t="str">
        <f ca="1">IF(H40=1,J40,I40)</f>
        <v>Provide % of completeness of supplier's smelter information on Declaration tab cell D51</v>
      </c>
      <c r="D40" s="244" t="str">
        <f>IF(H40=1,"Click here to answer question 6 for Tin","")</f>
        <v>Click here to answer question 6 for Tin</v>
      </c>
      <c r="E40" s="19" t="s">
        <v>769</v>
      </c>
      <c r="F40" s="91">
        <f>F25</f>
        <v>1</v>
      </c>
      <c r="G40" s="67">
        <f>IF(B40=0,1,0)</f>
        <v>1</v>
      </c>
      <c r="H40" s="68">
        <f>F40*G40</f>
        <v>1</v>
      </c>
      <c r="I40" s="142" t="str">
        <f ca="1">OFFSET(L!$C$1,MATCH("Checker"&amp;"Comp",L!$A:$A,0)-1,SL,,)</f>
        <v>Complete</v>
      </c>
      <c r="J40" s="18" t="str">
        <f ca="1">OFFSET(L!$C$1,MATCH("Checker"&amp;ADDRESS(ROW(),COLUMN(),4),L!$A:$A,0)-1,SL,,)</f>
        <v>Provide % of completeness of supplier's smelter information on Declaration tab cell D51</v>
      </c>
    </row>
    <row r="41" spans="1:10" ht="27.5">
      <c r="A41" s="87" t="str">
        <f ca="1">Declaration!B58</f>
        <v>Gold  (*)</v>
      </c>
      <c r="B41" s="251">
        <f>IF(AND($B$16="Yes",$B$21="Yes"),Declaration!D58,0)</f>
        <v>0</v>
      </c>
      <c r="C41" s="86" t="str">
        <f ca="1">IF(H41=1,J41,I41)</f>
        <v>Provide % of completeness of supplier's smelter information on Declaration tab cell D52</v>
      </c>
      <c r="D41" s="244" t="str">
        <f>IF(H41=1,"Click here to answer question 6 for Gold","")</f>
        <v>Click here to answer question 6 for Gold</v>
      </c>
      <c r="E41" s="19" t="s">
        <v>769</v>
      </c>
      <c r="F41" s="91">
        <f>F26</f>
        <v>1</v>
      </c>
      <c r="G41" s="67">
        <f>IF(B41=0,1,0)</f>
        <v>1</v>
      </c>
      <c r="H41" s="68">
        <f>F41*G41</f>
        <v>1</v>
      </c>
      <c r="I41" s="142" t="str">
        <f ca="1">OFFSET(L!$C$1,MATCH("Checker"&amp;"Comp",L!$A:$A,0)-1,SL,,)</f>
        <v>Complete</v>
      </c>
      <c r="J41" s="18" t="str">
        <f ca="1">OFFSET(L!$C$1,MATCH("Checker"&amp;ADDRESS(ROW(),COLUMN(),4),L!$A:$A,0)-1,SL,,)</f>
        <v>Provide % of completeness of supplier's smelter information on Declaration tab cell D52</v>
      </c>
    </row>
    <row r="42" spans="1:10" ht="27.5">
      <c r="A42" s="87" t="str">
        <f ca="1">Declaration!B59</f>
        <v>Tungsten  (*)</v>
      </c>
      <c r="B42" s="251">
        <f>IF(AND($B$17="Yes",$B$22="Yes"),Declaration!D59,0)</f>
        <v>0</v>
      </c>
      <c r="C42" s="86" t="str">
        <f ca="1">IF(H42=1,J42,I42)</f>
        <v>Provide % of completeness of supplier's smelter information on Declaration tab cell D53</v>
      </c>
      <c r="D42" s="244" t="str">
        <f>IF(H42=1,"Click here to answer question 6 for Tungsten","")</f>
        <v>Click here to answer question 6 for Tungsten</v>
      </c>
      <c r="E42" s="19" t="s">
        <v>769</v>
      </c>
      <c r="F42" s="91">
        <f>F27</f>
        <v>1</v>
      </c>
      <c r="G42" s="67">
        <f>IF(B42=0,1,0)</f>
        <v>1</v>
      </c>
      <c r="H42" s="68">
        <f>F42*G42</f>
        <v>1</v>
      </c>
      <c r="I42" s="142" t="str">
        <f ca="1">OFFSET(L!$C$1,MATCH("Checker"&amp;"Comp",L!$A:$A,0)-1,SL,,)</f>
        <v>Complete</v>
      </c>
      <c r="J42" s="18" t="str">
        <f ca="1">OFFSET(L!$C$1,MATCH("Checker"&amp;ADDRESS(ROW(),COLUMN(),4),L!$A:$A,0)-1,SL,,)</f>
        <v>Provide % of completeness of supplier's smelter information on Declaration tab cell D53</v>
      </c>
    </row>
    <row r="43" spans="1:10" ht="54">
      <c r="A43" s="86" t="str">
        <f ca="1">Declaration!B61</f>
        <v>7) Have you identified all of the smelters supplying the 3TG to your supply chain?  (*)</v>
      </c>
      <c r="B43" s="89"/>
      <c r="C43" s="89"/>
      <c r="D43" s="93"/>
      <c r="E43" s="19" t="s">
        <v>771</v>
      </c>
      <c r="F43" s="90"/>
    </row>
    <row r="44" spans="1:10" ht="54.5">
      <c r="A44" s="87" t="str">
        <f ca="1">Declaration!B62</f>
        <v>Tantalum  (*)</v>
      </c>
      <c r="B44" s="86">
        <f>IF(AND($B$14="Yes",$B$19="Yes"),Declaration!D62,0)</f>
        <v>0</v>
      </c>
      <c r="C44" s="86" t="str">
        <f ca="1">IF(H44=1,J44,I44)</f>
        <v>Declare if all smelter names have been provided in this survey response under the scope of products declared on the Declaration tab cell D56</v>
      </c>
      <c r="D44" s="243" t="str">
        <f>IF(H44=1,"Click here to answer question 7 for Tantalum","")</f>
        <v>Click here to answer question 7 for Tantalum</v>
      </c>
      <c r="E44" s="19" t="s">
        <v>1257</v>
      </c>
      <c r="F44" s="91">
        <f>F24</f>
        <v>1</v>
      </c>
      <c r="G44" s="67">
        <f>IF(B44=0,1,0)</f>
        <v>1</v>
      </c>
      <c r="H44" s="68">
        <f>F44*G44</f>
        <v>1</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4.5">
      <c r="A45" s="87" t="str">
        <f ca="1">Declaration!B63</f>
        <v>Tin  (*)</v>
      </c>
      <c r="B45" s="86">
        <f>IF(AND($B$15="Yes",$B$20="Yes"),Declaration!D63,0)</f>
        <v>0</v>
      </c>
      <c r="C45" s="86" t="str">
        <f ca="1">IF(H45=1,J45,I45)</f>
        <v>Declare if all smelter names have been provided in this survey response under the scope of products declared on the Declaration tab cell D57</v>
      </c>
      <c r="D45" s="243" t="str">
        <f>IF(H45=1,"Click here to answer question 7 for Tin","")</f>
        <v>Click here to answer question 7 for Tin</v>
      </c>
      <c r="E45" s="19" t="s">
        <v>1257</v>
      </c>
      <c r="F45" s="91">
        <f>F25</f>
        <v>1</v>
      </c>
      <c r="G45" s="67">
        <f>IF(B45=0,1,0)</f>
        <v>1</v>
      </c>
      <c r="H45" s="68">
        <f>F45*G45</f>
        <v>1</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4.5">
      <c r="A46" s="87" t="str">
        <f ca="1">Declaration!B64</f>
        <v>Gold  (*)</v>
      </c>
      <c r="B46" s="86">
        <f>IF(AND($B$16="Yes",$B$21="Yes"),Declaration!D64,0)</f>
        <v>0</v>
      </c>
      <c r="C46" s="86" t="str">
        <f ca="1">IF(H46=1,J46,I46)</f>
        <v>Declare if all smelter names have been provided in this survey response under the scope of products declared on the Declaration tab cell D58</v>
      </c>
      <c r="D46" s="243" t="str">
        <f>IF(H46=1,"Click here to answer question 7 for Gold","")</f>
        <v>Click here to answer question 7 for Gold</v>
      </c>
      <c r="E46" s="19" t="s">
        <v>1257</v>
      </c>
      <c r="F46" s="91">
        <f>F26</f>
        <v>1</v>
      </c>
      <c r="G46" s="67">
        <f>IF(B46=0,1,0)</f>
        <v>1</v>
      </c>
      <c r="H46" s="68">
        <f>F46*G46</f>
        <v>1</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4.5">
      <c r="A47" s="87" t="str">
        <f ca="1">Declaration!B65</f>
        <v>Tungsten  (*)</v>
      </c>
      <c r="B47" s="86">
        <f>IF(AND($B$17="Yes",$B$22="Yes"),Declaration!D65,0)</f>
        <v>0</v>
      </c>
      <c r="C47" s="86" t="str">
        <f ca="1">IF(H47=1,J47,I47)</f>
        <v>Declare if all smelter names have been provided in this survey response which the scope of products declared on the Declaration tab cell D59</v>
      </c>
      <c r="D47" s="243" t="str">
        <f>IF(H47=1,"Click here to answer question 7 for Tungsten","")</f>
        <v>Click here to answer question 7 for Tungsten</v>
      </c>
      <c r="E47" s="19" t="s">
        <v>1257</v>
      </c>
      <c r="F47" s="91">
        <f>F27</f>
        <v>1</v>
      </c>
      <c r="G47" s="67">
        <f>IF(B47=0,1,0)</f>
        <v>1</v>
      </c>
      <c r="H47" s="68">
        <f>F47*G47</f>
        <v>1</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7.5">
      <c r="A48" s="86" t="str">
        <f ca="1">Declaration!B67</f>
        <v>8) Has all applicable smelter information received by your company been reported in this declaration?  (*)</v>
      </c>
      <c r="B48" s="89"/>
      <c r="C48" s="89"/>
      <c r="D48" s="93"/>
      <c r="E48" s="19" t="s">
        <v>772</v>
      </c>
      <c r="F48" s="90"/>
    </row>
    <row r="49" spans="1:10" ht="41">
      <c r="A49" s="87" t="str">
        <f ca="1">Declaration!B68</f>
        <v>Tantalum  (*)</v>
      </c>
      <c r="B49" s="86">
        <f>IF(AND($B$14="Yes",$B$19="Yes"),Declaration!D68,0)</f>
        <v>0</v>
      </c>
      <c r="C49" s="86" t="str">
        <f ca="1">IF(H49=1,J49,I49)</f>
        <v>Declare if all applicable Tantalum smelter information has been provided on Declaration tab cell D62</v>
      </c>
      <c r="D49" s="244" t="str">
        <f>IF(H49=1,"Click here to answer question 8 for Tantalum","")</f>
        <v>Click here to answer question 8 for Tantalum</v>
      </c>
      <c r="E49" s="19" t="s">
        <v>770</v>
      </c>
      <c r="F49" s="91">
        <f>F24</f>
        <v>1</v>
      </c>
      <c r="G49" s="67">
        <f>IF(B49=0,1,0)</f>
        <v>1</v>
      </c>
      <c r="H49" s="68">
        <f>F49*G49</f>
        <v>1</v>
      </c>
      <c r="I49" s="142" t="str">
        <f ca="1">OFFSET(L!$C$1,MATCH("Checker"&amp;"Comp",L!$A:$A,0)-1,SL,,)</f>
        <v>Complete</v>
      </c>
      <c r="J49" s="18" t="str">
        <f ca="1">OFFSET(L!$C$1,MATCH("Checker"&amp;ADDRESS(ROW(),COLUMN(),4),L!$A:$A,0)-1,SL,,)</f>
        <v>Declare if all applicable Tantalum smelter information has been provided on Declaration tab cell D62</v>
      </c>
    </row>
    <row r="50" spans="1:10" ht="41">
      <c r="A50" s="87" t="str">
        <f ca="1">Declaration!B69</f>
        <v>Tin  (*)</v>
      </c>
      <c r="B50" s="86">
        <f>IF(AND($B$15="Yes",$B$20="Yes"),Declaration!D69,0)</f>
        <v>0</v>
      </c>
      <c r="C50" s="86" t="str">
        <f ca="1">IF(H50=1,J50,I50)</f>
        <v>Declare if all applicable Tin smelter information has been provided on Declaration tab cell D63</v>
      </c>
      <c r="D50" s="244" t="str">
        <f>IF(H50=1,"Click here to answer question 8 for Tin","")</f>
        <v>Click here to answer question 8 for Tin</v>
      </c>
      <c r="E50" s="19" t="s">
        <v>770</v>
      </c>
      <c r="F50" s="91">
        <f>F25</f>
        <v>1</v>
      </c>
      <c r="G50" s="67">
        <f>IF(B50=0,1,0)</f>
        <v>1</v>
      </c>
      <c r="H50" s="68">
        <f>F50*G50</f>
        <v>1</v>
      </c>
      <c r="I50" s="142" t="str">
        <f ca="1">OFFSET(L!$C$1,MATCH("Checker"&amp;"Comp",L!$A:$A,0)-1,SL,,)</f>
        <v>Complete</v>
      </c>
      <c r="J50" s="18" t="str">
        <f ca="1">OFFSET(L!$C$1,MATCH("Checker"&amp;ADDRESS(ROW(),COLUMN(),4),L!$A:$A,0)-1,SL,,)</f>
        <v>Declare if all applicable Tin smelter information has been provided on Declaration tab cell D63</v>
      </c>
    </row>
    <row r="51" spans="1:10" ht="41">
      <c r="A51" s="87" t="str">
        <f ca="1">Declaration!B70</f>
        <v>Gold  (*)</v>
      </c>
      <c r="B51" s="86">
        <f>IF(AND($B$16="Yes",$B$21="Yes"),Declaration!D70,0)</f>
        <v>0</v>
      </c>
      <c r="C51" s="86" t="str">
        <f ca="1">IF(H51=1,J51,I51)</f>
        <v>Declare if all applicable Gold smelter information has been provided on Declaration tab cell D64</v>
      </c>
      <c r="D51" s="244" t="str">
        <f>IF(H51=1,"Click here to answer question 8 for Gold","")</f>
        <v>Click here to answer question 8 for Gold</v>
      </c>
      <c r="E51" s="19" t="s">
        <v>770</v>
      </c>
      <c r="F51" s="91">
        <f>F26</f>
        <v>1</v>
      </c>
      <c r="G51" s="67">
        <f>IF(B51=0,1,0)</f>
        <v>1</v>
      </c>
      <c r="H51" s="68">
        <f>F51*G51</f>
        <v>1</v>
      </c>
      <c r="I51" s="142" t="str">
        <f ca="1">OFFSET(L!$C$1,MATCH("Checker"&amp;"Comp",L!$A:$A,0)-1,SL,,)</f>
        <v>Complete</v>
      </c>
      <c r="J51" s="18" t="str">
        <f ca="1">OFFSET(L!$C$1,MATCH("Checker"&amp;ADDRESS(ROW(),COLUMN(),4),L!$A:$A,0)-1,SL,,)</f>
        <v>Declare if all applicable Gold smelter information has been provided on Declaration tab cell D64</v>
      </c>
    </row>
    <row r="52" spans="1:10" ht="41">
      <c r="A52" s="87" t="str">
        <f ca="1">Declaration!B71</f>
        <v>Tungsten  (*)</v>
      </c>
      <c r="B52" s="86">
        <f>IF(AND($B$17="Yes",$B$22="Yes"),Declaration!D71,0)</f>
        <v>0</v>
      </c>
      <c r="C52" s="86" t="str">
        <f ca="1">IF(H52=1,J52,I52)</f>
        <v>Declare if all applicable Tungsten smelter information has been provided on Declaration tab cell D65</v>
      </c>
      <c r="D52" s="244" t="str">
        <f>IF(H52=1,"Click here to answer question 8 for Tungsten","")</f>
        <v>Click here to answer question 8 for Tungsten</v>
      </c>
      <c r="E52" s="19" t="s">
        <v>770</v>
      </c>
      <c r="F52" s="91">
        <f>F27</f>
        <v>1</v>
      </c>
      <c r="G52" s="67">
        <f>IF(B52=0,1,0)</f>
        <v>1</v>
      </c>
      <c r="H52" s="68">
        <f>F52*G52</f>
        <v>1</v>
      </c>
      <c r="I52" s="142" t="str">
        <f ca="1">OFFSET(L!$C$1,MATCH("Checker"&amp;"Comp",L!$A:$A,0)-1,SL,,)</f>
        <v>Complete</v>
      </c>
      <c r="J52" s="18" t="str">
        <f ca="1">OFFSET(L!$C$1,MATCH("Checker"&amp;ADDRESS(ROW(),COLUMN(),4),L!$A:$A,0)-1,SL,,)</f>
        <v>Declare if all applicable Tungsten smelter information has been provided on Declaration tab cell D65</v>
      </c>
    </row>
    <row r="53" spans="1:10" ht="27">
      <c r="A53" s="86" t="str">
        <f ca="1">Declaration!B74</f>
        <v>Question</v>
      </c>
      <c r="B53" s="89"/>
      <c r="C53" s="89"/>
      <c r="D53" s="93"/>
      <c r="E53" s="19" t="s">
        <v>426</v>
      </c>
      <c r="F53" s="90"/>
      <c r="G53" s="90"/>
      <c r="H53" s="90"/>
    </row>
    <row r="54" spans="1:10" ht="41">
      <c r="A54" s="86" t="str">
        <f ca="1">Declaration!B75</f>
        <v>A. Have you established a responsible minerals sourcing policy? (*)</v>
      </c>
      <c r="B54" s="86">
        <f>Declaration!D75</f>
        <v>0</v>
      </c>
      <c r="C54" s="86" t="str">
        <f t="shared" ref="C54:C60" ca="1" si="10">IF(H54=1,J54,I54)</f>
        <v>Answer if your company has a responsible minerals sourcing policy on the Declaration tab cell D75</v>
      </c>
      <c r="D54" s="92" t="str">
        <f>IF(H54=1,"Click here to answer question (A)","")</f>
        <v>Click here to answer question (A)</v>
      </c>
      <c r="E54" s="19" t="s">
        <v>1261</v>
      </c>
      <c r="F54" s="91">
        <f>IF(SUM(F$24:F$27)=0,0,1)</f>
        <v>1</v>
      </c>
      <c r="G54" s="67">
        <f>IF(B54=0,1,0)</f>
        <v>1</v>
      </c>
      <c r="H54" s="68">
        <f t="shared" ref="H54:H60" si="11">F54*G54</f>
        <v>1</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f>Declaration!D77</f>
        <v>0</v>
      </c>
      <c r="C55" s="86" t="str">
        <f t="shared" ca="1" si="10"/>
        <v>Answer if your company has made your responsible minerals sourcing policy publically available on your website on the Declaration tab cell D77</v>
      </c>
      <c r="D55" s="92" t="str">
        <f>IF(H55=1,"Click here to answer question (B)","")</f>
        <v>Click here to answer question (B)</v>
      </c>
      <c r="E55" s="19" t="s">
        <v>1261</v>
      </c>
      <c r="F55" s="91">
        <f t="shared" ref="F55" si="12">F$54</f>
        <v>1</v>
      </c>
      <c r="G55" s="67">
        <f>IF(B55=0,1,0)</f>
        <v>1</v>
      </c>
      <c r="H55" s="68">
        <f t="shared" si="11"/>
        <v>1</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5" customHeight="1">
      <c r="A56" s="86" t="s">
        <v>3</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4">
      <c r="A57" s="86" t="str">
        <f ca="1">Declaration!B79</f>
        <v>C. Do you require your direct suppliers to source the 3TG from smelters whose due diligence practices have been validated by an independent third party audit program? (*)</v>
      </c>
      <c r="B57" s="86">
        <f>Declaration!D79</f>
        <v>0</v>
      </c>
      <c r="C57" s="86" t="str">
        <f t="shared" ca="1" si="10"/>
        <v>Answer if you require your direct suppliers to source from smelters whose due diligence practices have been validated by an independent third-party audit program, like the Responsible Minerals Assurance Process, on Declaration tab cell D79</v>
      </c>
      <c r="D57" s="92" t="str">
        <f>IF(H57=1,"Click here to answer question (C)","")</f>
        <v>Click here to answer question (C)</v>
      </c>
      <c r="E57" s="19" t="s">
        <v>1261</v>
      </c>
      <c r="F57" s="91">
        <f>F$54</f>
        <v>1</v>
      </c>
      <c r="G57" s="67">
        <f>IF(B57=0,1,0)</f>
        <v>1</v>
      </c>
      <c r="H57" s="68">
        <f t="shared" si="11"/>
        <v>1</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
      <c r="A58" s="86" t="str">
        <f ca="1">Declaration!B81</f>
        <v>D. Have you implemented due diligence measures for responsible sourcing? (*)</v>
      </c>
      <c r="B58" s="86">
        <f>Declaration!D81</f>
        <v>0</v>
      </c>
      <c r="C58" s="86" t="str">
        <f t="shared" ca="1" si="10"/>
        <v>Answer if you have implemented due diligence measures for responsible sourcing on Declaration tab cell D81</v>
      </c>
      <c r="D58" s="92" t="str">
        <f>IF(H58=1,"Click here to answer question (D)","")</f>
        <v>Click here to answer question (D)</v>
      </c>
      <c r="E58" s="19" t="s">
        <v>1261</v>
      </c>
      <c r="F58" s="91">
        <f>F$54</f>
        <v>1</v>
      </c>
      <c r="G58" s="67">
        <f>IF(B58=0,1,0)</f>
        <v>1</v>
      </c>
      <c r="H58" s="68">
        <f t="shared" si="11"/>
        <v>1</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41">
      <c r="A59" s="86" t="str">
        <f ca="1">Declaration!B83</f>
        <v>E. Does your company conduct Conflict Minerals survey(s) of your relevant supplier(s)? (*)</v>
      </c>
      <c r="B59" s="86">
        <f>Declaration!D83</f>
        <v>0</v>
      </c>
      <c r="C59" s="86" t="str">
        <f t="shared" ca="1" si="10"/>
        <v>Answer if you request your suppliers to fill out this Conflict Minerals Reporting Template on Declaration tab cell D83</v>
      </c>
      <c r="D59" s="92" t="str">
        <f>IF(H59=1,"Click here to answer question (E)","")</f>
        <v>Click here to answer question (E)</v>
      </c>
      <c r="E59" s="19" t="s">
        <v>1261</v>
      </c>
      <c r="F59" s="91">
        <f>F$54</f>
        <v>1</v>
      </c>
      <c r="G59" s="67">
        <f>IF(B59=0,1,0)</f>
        <v>1</v>
      </c>
      <c r="H59" s="68">
        <f t="shared" si="11"/>
        <v>1</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41">
      <c r="A60" s="86" t="str">
        <f ca="1">Declaration!B85</f>
        <v>F. Do you review due diligence information received from your suppliers against your company’s expectations? (*)</v>
      </c>
      <c r="B60" s="86">
        <f>Declaration!D85</f>
        <v>0</v>
      </c>
      <c r="C60" s="86" t="str">
        <f t="shared" ca="1" si="10"/>
        <v>Answer if you verify responses from your suppliers against your company's expectations on Declaration tab cell D85</v>
      </c>
      <c r="D60" s="92" t="str">
        <f>IF(H60=1,"Click here to answer question (F)","")</f>
        <v>Click here to answer question (F)</v>
      </c>
      <c r="E60" s="19" t="s">
        <v>1261</v>
      </c>
      <c r="F60" s="91">
        <f>F$54</f>
        <v>1</v>
      </c>
      <c r="G60" s="67">
        <f>IF(B60=0,1,0)</f>
        <v>1</v>
      </c>
      <c r="H60" s="68">
        <f t="shared" si="11"/>
        <v>1</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5" hidden="1">
      <c r="A61" s="86"/>
      <c r="B61" s="86"/>
      <c r="C61" s="86"/>
      <c r="D61" s="92"/>
      <c r="E61" s="19"/>
      <c r="F61" s="91"/>
      <c r="G61" s="67"/>
      <c r="H61" s="68"/>
      <c r="I61" s="142"/>
    </row>
    <row r="62" spans="1:10" ht="41">
      <c r="A62" s="86" t="str">
        <f ca="1">Declaration!B87</f>
        <v>G. Does your review process include corrective action management? (*)</v>
      </c>
      <c r="B62" s="86">
        <f>Declaration!D87</f>
        <v>0</v>
      </c>
      <c r="C62" s="86" t="str">
        <f t="shared" ref="C62:C68" ca="1" si="13">IF(H62=1,J62,I62)</f>
        <v>Answer if your verification process includes corrective action management on Declaration tab cell D87</v>
      </c>
      <c r="D62" s="92" t="str">
        <f>IF(H62=1,"Click here to answer question (G)","")</f>
        <v>Click here to answer question (G)</v>
      </c>
      <c r="E62" s="19" t="s">
        <v>1261</v>
      </c>
      <c r="F62" s="91">
        <f>F$54</f>
        <v>1</v>
      </c>
      <c r="G62" s="67">
        <f>IF(B62=0,1,0)</f>
        <v>1</v>
      </c>
      <c r="H62" s="68">
        <f t="shared" ref="H62:H69" si="14">F62*G62</f>
        <v>1</v>
      </c>
      <c r="I62" s="142" t="str">
        <f ca="1">OFFSET(L!$C$1,MATCH("Checker"&amp;"Comp",L!$A:$A,0)-1,SL,,)</f>
        <v>Complete</v>
      </c>
      <c r="J62" s="18" t="str">
        <f ca="1">OFFSET(L!$C$1,MATCH("Checker"&amp;ADDRESS(ROW(),COLUMN(),4),L!$A:$A,0)-1,SL,,)</f>
        <v>Answer if your verification process includes corrective action management on Declaration tab cell D87</v>
      </c>
    </row>
    <row r="63" spans="1:10" ht="41">
      <c r="A63" s="86" t="str">
        <f ca="1">Declaration!B89</f>
        <v>H. Is your company required to file an annual conflict minerals disclosure? (*)</v>
      </c>
      <c r="B63" s="86">
        <f>Declaration!D89</f>
        <v>0</v>
      </c>
      <c r="C63" s="86" t="str">
        <f t="shared" ca="1" si="13"/>
        <v>Answer if you are subject to the SEC Disclosure requirement, the EU regulation or both on Declaration tab cell D89</v>
      </c>
      <c r="D63" s="92" t="str">
        <f>IF(H63=1,"Click here to answer question (H)","")</f>
        <v>Click here to answer question (H)</v>
      </c>
      <c r="E63" s="19" t="s">
        <v>1261</v>
      </c>
      <c r="F63" s="91">
        <f>F$54</f>
        <v>1</v>
      </c>
      <c r="G63" s="67">
        <f>IF(B63=0,1,0)</f>
        <v>1</v>
      </c>
      <c r="H63" s="68">
        <f t="shared" si="14"/>
        <v>1</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41">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41">
      <c r="A65" s="86" t="s">
        <v>14563</v>
      </c>
      <c r="B65" s="86"/>
      <c r="C65" s="86" t="str">
        <f t="shared" ca="1" si="13"/>
        <v>Provide list of tantalum smelters contributing material to supply chain on Smelter List tab</v>
      </c>
      <c r="D65" s="92" t="str">
        <f>IF(H65=0,"","Click here to provide smelter information")</f>
        <v>Click here to provide smelter information</v>
      </c>
      <c r="E65" s="19" t="s">
        <v>1261</v>
      </c>
      <c r="F65" s="91">
        <f>F24</f>
        <v>1</v>
      </c>
      <c r="G65" s="67">
        <f>IF(AND(COUNTIF(SmelterIdetifiedForMetal,"Tantalum")&gt;0,COUNTIF('Smelter List'!AB$5:AB$2504,"Tantalum?*")&gt;0),0,1)</f>
        <v>1</v>
      </c>
      <c r="H65" s="68">
        <f t="shared" si="14"/>
        <v>1</v>
      </c>
      <c r="I65" s="142" t="str">
        <f ca="1">OFFSET(L!$C$1,MATCH("Checker"&amp;"Comp",L!$A:$A,0)-1,SL,,)</f>
        <v>Complete</v>
      </c>
      <c r="J65" s="18" t="str">
        <f ca="1">OFFSET(L!$C$1,MATCH("Checker"&amp;ADDRESS(ROW(),COLUMN(),4),L!$A:$A,0)-1,SL,,)</f>
        <v>Provide list of tantalum smelters contributing material to supply chain on Smelter List tab</v>
      </c>
      <c r="K65" s="147">
        <f>IF(H14+H19&gt;0,1,0)</f>
        <v>1</v>
      </c>
      <c r="L65" s="18" t="e">
        <f ca="1">OFFSET(L!$C$1,MATCH("Checker"&amp;ADDRESS(ROW(),COLUMN(),4),L!$A:$A,0)-1,SL,,)</f>
        <v>#N/A</v>
      </c>
    </row>
    <row r="66" spans="1:12" ht="41">
      <c r="A66" s="86" t="s">
        <v>1761</v>
      </c>
      <c r="B66" s="86"/>
      <c r="C66" s="86" t="str">
        <f t="shared" ca="1" si="13"/>
        <v>Provide list of tin smelters contributing material to supply chain on Smelter List tab</v>
      </c>
      <c r="D66" s="92" t="str">
        <f>IF(H66=0,"","Click here to provide smelter information")</f>
        <v>Click here to provide smelter information</v>
      </c>
      <c r="E66" s="19" t="s">
        <v>770</v>
      </c>
      <c r="F66" s="91">
        <f>F25</f>
        <v>1</v>
      </c>
      <c r="G66" s="67">
        <f>IF(AND(COUNTIF(SmelterIdetifiedForMetal,"Tin")&gt;0,COUNTIF('Smelter List'!AB$5:AB$2504,"Tin?*")&gt;0),0,1)</f>
        <v>1</v>
      </c>
      <c r="H66" s="68">
        <f t="shared" si="14"/>
        <v>1</v>
      </c>
      <c r="I66" s="142" t="str">
        <f ca="1">OFFSET(L!$C$1,MATCH("Checker"&amp;"Comp",L!$A:$A,0)-1,SL,,)</f>
        <v>Complete</v>
      </c>
      <c r="J66" s="18" t="str">
        <f ca="1">OFFSET(L!$C$1,MATCH("Checker"&amp;ADDRESS(ROW(),COLUMN(),4),L!$A:$A,0)-1,SL,,)</f>
        <v>Provide list of tin smelters contributing material to supply chain on Smelter List tab</v>
      </c>
      <c r="K66" s="147">
        <f>IF(H15+H20&gt;0,1,0)</f>
        <v>1</v>
      </c>
      <c r="L66" s="18" t="e">
        <f ca="1">OFFSET(L!$C$1,MATCH("Checker"&amp;ADDRESS(ROW(),COLUMN(),4),L!$A:$A,0)-1,SL,,)</f>
        <v>#N/A</v>
      </c>
    </row>
    <row r="67" spans="1:12" ht="41">
      <c r="A67" s="86" t="s">
        <v>1762</v>
      </c>
      <c r="B67" s="86"/>
      <c r="C67" s="86" t="str">
        <f t="shared" ca="1" si="13"/>
        <v>Provide list of gold smelters contributing material to supply chain on Smelter List tab</v>
      </c>
      <c r="D67" s="92" t="str">
        <f>IF(H67=0,"","Click here to provide smelter information")</f>
        <v>Click here to provide smelter information</v>
      </c>
      <c r="E67" s="19" t="s">
        <v>770</v>
      </c>
      <c r="F67" s="91">
        <f>F26</f>
        <v>1</v>
      </c>
      <c r="G67" s="67">
        <f>IF(AND(COUNTIF(SmelterIdetifiedForMetal,"Gold")&gt;0,COUNTIF('Smelter List'!AB$5:AB$2504,"Gold?*")&gt;0),0,1)</f>
        <v>1</v>
      </c>
      <c r="H67" s="68">
        <f t="shared" si="14"/>
        <v>1</v>
      </c>
      <c r="I67" s="142" t="str">
        <f ca="1">OFFSET(L!$C$1,MATCH("Checker"&amp;"Comp",L!$A:$A,0)-1,SL,,)</f>
        <v>Complete</v>
      </c>
      <c r="J67" s="18" t="str">
        <f ca="1">OFFSET(L!$C$1,MATCH("Checker"&amp;ADDRESS(ROW(),COLUMN(),4),L!$A:$A,0)-1,SL,,)</f>
        <v>Provide list of gold smelters contributing material to supply chain on Smelter List tab</v>
      </c>
      <c r="K67" s="147">
        <f>IF(H16+H21&gt;0,1,0)</f>
        <v>1</v>
      </c>
      <c r="L67" s="18" t="e">
        <f ca="1">OFFSET(L!$C$1,MATCH("Checker"&amp;ADDRESS(ROW(),COLUMN(),4),L!$A:$A,0)-1,SL,,)</f>
        <v>#N/A</v>
      </c>
    </row>
    <row r="68" spans="1:12" ht="41">
      <c r="A68" s="86" t="s">
        <v>1763</v>
      </c>
      <c r="B68" s="86"/>
      <c r="C68" s="86" t="str">
        <f t="shared" ca="1" si="13"/>
        <v>Provide list of tungsten smelters contributing material to supply chain on Smelter List tab</v>
      </c>
      <c r="D68" s="92" t="str">
        <f>IF(H68=0,"","Click here to provide smelter information")</f>
        <v>Click here to provide smelter information</v>
      </c>
      <c r="E68" s="19" t="s">
        <v>770</v>
      </c>
      <c r="F68" s="91">
        <f>F27</f>
        <v>1</v>
      </c>
      <c r="G68" s="67">
        <f>IF(AND(COUNTIF(SmelterIdetifiedForMetal,"Tungsten")&gt;0,COUNTIF('Smelter List'!AB$5:AB$2504,"Tungsten?*")&gt;0),0,1)</f>
        <v>1</v>
      </c>
      <c r="H68" s="68">
        <f t="shared" si="14"/>
        <v>1</v>
      </c>
      <c r="I68" s="142" t="str">
        <f ca="1">OFFSET(L!$C$1,MATCH("Checker"&amp;"Comp",L!$A:$A,0)-1,SL,,)</f>
        <v>Complete</v>
      </c>
      <c r="J68" s="18" t="str">
        <f ca="1">OFFSET(L!$C$1,MATCH("Checker"&amp;ADDRESS(ROW(),COLUMN(),4),L!$A:$A,0)-1,SL,,)</f>
        <v>Provide list of tungsten smelters contributing material to supply chain on Smelter List tab</v>
      </c>
      <c r="K68" s="147">
        <f>IF(H17+H22&gt;0,1,0)</f>
        <v>1</v>
      </c>
      <c r="L68" s="18" t="e">
        <f ca="1">OFFSET(L!$C$1,MATCH("Checker"&amp;ADDRESS(ROW(),COLUMN(),4),L!$A:$A,0)-1,SL,,)</f>
        <v>#N/A</v>
      </c>
    </row>
    <row r="69" spans="1:12" ht="27">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52</v>
      </c>
    </row>
    <row r="73" spans="1:12" ht="14"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4375" defaultRowHeight="13.5"/>
  <cols>
    <col min="1" max="1" width="3.15234375" style="259" customWidth="1"/>
    <col min="2" max="2" width="39.84375" style="262" customWidth="1"/>
    <col min="3" max="5" width="39.84375" style="259" customWidth="1"/>
    <col min="6" max="6" width="58.84375" style="259" customWidth="1"/>
    <col min="7" max="7" width="1.61328125" style="259" customWidth="1"/>
    <col min="8" max="8" width="9" style="259" customWidth="1"/>
    <col min="9" max="16384" width="8.84375" style="260"/>
  </cols>
  <sheetData>
    <row r="1" spans="1:8" s="20" customFormat="1" ht="35.15"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4" customHeight="1" thickBot="1">
      <c r="A2006" s="127"/>
      <c r="B2006" s="397" t="str">
        <f ca="1">OFFSET(L!$C$1,MATCH("General"&amp;"Cpy",L!$A:$A,0)-1,SL,,)</f>
        <v>© 2026 Responsible Minerals Initiative. All rights reserved.</v>
      </c>
      <c r="C2006" s="397"/>
      <c r="D2006" s="397"/>
      <c r="E2006" s="397"/>
      <c r="F2006" s="397"/>
      <c r="G2006" s="261"/>
    </row>
    <row r="2007" spans="1:7" ht="14"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73" bestFit="1" customWidth="1"/>
    <col min="2" max="2" width="42.84375" style="173" customWidth="1"/>
    <col min="3" max="3" width="63.84375" style="173" customWidth="1"/>
    <col min="4" max="4" width="25.61328125" style="173" customWidth="1"/>
    <col min="5" max="5" width="12.61328125" style="173" customWidth="1"/>
    <col min="6" max="6" width="12.61328125" style="174" customWidth="1"/>
    <col min="7" max="7" width="15.3828125" style="173" customWidth="1"/>
    <col min="8" max="8" width="23.84375" style="173" customWidth="1"/>
    <col min="9" max="9" width="28.15234375" style="173" customWidth="1"/>
    <col min="10" max="10" width="48.23046875" style="173" hidden="1" customWidth="1"/>
    <col min="11" max="11" width="49.765625" style="173" hidden="1" customWidth="1"/>
    <col min="12" max="16384" width="8.84375" style="173"/>
  </cols>
  <sheetData>
    <row r="1" spans="1:11" ht="168.65"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8" customWidth="1"/>
    <col min="2" max="2" width="14" style="148" customWidth="1"/>
    <col min="3" max="3" width="6.15234375" style="148" customWidth="1"/>
    <col min="4" max="4" width="56.23046875" style="148" customWidth="1"/>
    <col min="5" max="5" width="53.765625" style="216" customWidth="1"/>
    <col min="6" max="6" width="54.15234375" style="148" customWidth="1"/>
    <col min="7" max="7" width="68.23046875" style="148" customWidth="1"/>
    <col min="8" max="8" width="49.23046875" style="148" customWidth="1"/>
    <col min="9" max="9" width="51.61328125" style="148" customWidth="1"/>
    <col min="10" max="10" width="50.23046875" style="148" customWidth="1"/>
    <col min="11" max="11" width="51.84375" customWidth="1"/>
    <col min="12" max="12" width="66.84375" style="239" customWidth="1"/>
    <col min="13" max="13" width="46.15234375" style="106" customWidth="1"/>
    <col min="14" max="15" width="8.84375" style="106" customWidth="1"/>
    <col min="16" max="16384" width="8.843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1">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6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0.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0.5">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0.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0.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0.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1">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1">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7.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0.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0.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48.5">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1.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0.5">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91.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55">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6">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0.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8">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08">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08">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1.5">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6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3">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8.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1.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0.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7">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7.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4">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4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1">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4.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1.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7.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51">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1">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75.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89">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0.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02.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24">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48.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48.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97">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4.5">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0.5">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7">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94.5">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0.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1">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89">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3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48.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7.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08">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9.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08">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16">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7.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48.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08">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0">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70">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48.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1">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89">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5.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0.5">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7">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7">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9">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40.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0.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9">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9">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40.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7">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7.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3.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0.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9">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7">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7">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7">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7">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7">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7">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27">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7">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7">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7">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7">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7">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0.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0.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4">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0.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4">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0.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0.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0.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0.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0.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7.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7.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7.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7.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67.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67.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67.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67.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67.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67.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4">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67.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0.5">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4">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4">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4">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0.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0.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0.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0.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4">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4">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4.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0.5">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0.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0.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0.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0.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1">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7.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7.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Gavin Wu</cp:lastModifiedBy>
  <cp:lastPrinted>2015-04-21T20:47:43Z</cp:lastPrinted>
  <dcterms:created xsi:type="dcterms:W3CDTF">2010-06-21T21:00:23Z</dcterms:created>
  <dcterms:modified xsi:type="dcterms:W3CDTF">2026-04-17T18:35:55Z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